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0" windowWidth="24240" windowHeight="11310" firstSheet="1" activeTab="1"/>
  </bookViews>
  <sheets>
    <sheet name="Ленина 16" sheetId="1" r:id="rId1"/>
    <sheet name="Ленина 18" sheetId="2" r:id="rId2"/>
    <sheet name="Сибирская 15" sheetId="3" r:id="rId3"/>
    <sheet name="Сибирская 11Б" sheetId="4" r:id="rId4"/>
    <sheet name="30 лет Победы 10 1 ввод" sheetId="5" r:id="rId5"/>
    <sheet name="30 лет Победы 10 2 ввод" sheetId="6" r:id="rId6"/>
    <sheet name="30 лет Победы 41" sheetId="7" r:id="rId7"/>
    <sheet name="Университетская 11" sheetId="8" r:id="rId8"/>
    <sheet name="Лист1" sheetId="9" r:id="rId9"/>
    <sheet name="Лист3" sheetId="10" r:id="rId10"/>
  </sheets>
  <definedNames>
    <definedName name="_xlnm.Print_Area" localSheetId="4">'30 лет Победы 10 1 ввод'!$A$1:$D$64</definedName>
    <definedName name="_xlnm.Print_Area" localSheetId="5">'30 лет Победы 10 2 ввод'!$A$1:$D$64</definedName>
    <definedName name="_xlnm.Print_Area" localSheetId="6">'30 лет Победы 41'!$A$1:$D$68</definedName>
    <definedName name="_xlnm.Print_Area" localSheetId="0">'Ленина 16'!$A$1:$D$63</definedName>
    <definedName name="_xlnm.Print_Area" localSheetId="1">'Ленина 18'!$A$1:$D$65</definedName>
    <definedName name="_xlnm.Print_Area" localSheetId="3">'Сибирская 11Б'!$A$1:$D$60</definedName>
    <definedName name="_xlnm.Print_Area" localSheetId="2">'Сибирская 15'!$A$1:$D$64</definedName>
    <definedName name="_xlnm.Print_Area" localSheetId="7">'Университетская 11'!$A$1:$D$68</definedName>
  </definedNames>
  <calcPr fullCalcOnLoad="1" refMode="R1C1"/>
</workbook>
</file>

<file path=xl/sharedStrings.xml><?xml version="1.0" encoding="utf-8"?>
<sst xmlns="http://schemas.openxmlformats.org/spreadsheetml/2006/main" count="1844" uniqueCount="47">
  <si>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</si>
  <si>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</si>
  <si>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</si>
  <si>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</si>
  <si>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</si>
  <si>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</si>
  <si>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Наименование работы (услуги)</t>
  </si>
  <si>
    <t>руб.</t>
  </si>
  <si>
    <t>Дератизация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</si>
  <si>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</si>
  <si>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Дата</t>
  </si>
  <si>
    <t>Годовая плановая стоимость работ (услуг)</t>
  </si>
  <si>
    <t>Содержание конструктивных элементов жилых зданий</t>
  </si>
  <si>
    <t>Содержание, текщий ремонт мусоропроводов</t>
  </si>
  <si>
    <t>Уборка придомовой территории ручным способом</t>
  </si>
  <si>
    <t>Механизированная уборка придомовой территории в холодный период года</t>
  </si>
  <si>
    <t>Содержание элементов и объектов благоустройства, расположенных на придомовой территории и предназначенных для обслуживания и эксплуатации МКД</t>
  </si>
  <si>
    <t>Расходы, по управлению жилым фондом</t>
  </si>
  <si>
    <t xml:space="preserve">Расходы по обеспечению вывоза ТБО </t>
  </si>
  <si>
    <t>Содержание помещений, входящих в состав общего имущества</t>
  </si>
  <si>
    <t>Расходы по содержанию и текщему ремонту систем вентиляции (дымоудаления)</t>
  </si>
  <si>
    <t>Содержание и ремонт лифта</t>
  </si>
  <si>
    <t>Расходы по содержанию аварийно-диспетчерской службы</t>
  </si>
  <si>
    <t>Содержание и текущий ремонт оборудования и инженерно-технического обеспечения, входящих в состав общего имущества (отопление, ХВС и ГВС, электроснабжение)</t>
  </si>
  <si>
    <t>Расходы по содержанию и текущему ремонту крыш, подвалов</t>
  </si>
  <si>
    <t>Расходы по содержанию систем вентиляции (дымоудаление)</t>
  </si>
  <si>
    <t>Расходы по организации мест для накопления  отработанных ртутьсодержащих ламп и их передача в спец.организации на утилизацию</t>
  </si>
  <si>
    <t>Расходы по организации мест для накопления отработанных ртутьсодержащих ламп и их передача в спец.организации на утилизацию</t>
  </si>
  <si>
    <t>Расходы по содержанию системы автоматической пожарной сигнализации и электрических систем дымоудаления</t>
  </si>
  <si>
    <t>итого по всему жилому фонду</t>
  </si>
  <si>
    <r>
      <t xml:space="preserve">1.       </t>
    </r>
    <r>
      <rPr>
        <b/>
        <sz val="12"/>
        <rFont val="Times New Roman"/>
        <family val="1"/>
      </rPr>
      <t> </t>
    </r>
  </si>
  <si>
    <r>
      <t xml:space="preserve">2.       </t>
    </r>
    <r>
      <rPr>
        <b/>
        <sz val="12"/>
        <rFont val="Times New Roman"/>
        <family val="1"/>
      </rPr>
      <t> </t>
    </r>
  </si>
  <si>
    <r>
      <t xml:space="preserve">3.       </t>
    </r>
    <r>
      <rPr>
        <b/>
        <sz val="12"/>
        <rFont val="Times New Roman"/>
        <family val="1"/>
      </rPr>
      <t> </t>
    </r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</si>
  <si>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</t>
  </si>
  <si>
    <t>проверка</t>
  </si>
  <si>
    <t>Исп.Казаковцева А.Ю.</t>
  </si>
  <si>
    <t>09.01.2019 года</t>
  </si>
  <si>
    <t>ЛЕНИНА 16 2018 год</t>
  </si>
  <si>
    <t>ЛЕНИНА 18 2018 год</t>
  </si>
  <si>
    <t>СИБИРСКАЯ 15 2018 год</t>
  </si>
  <si>
    <t>СИБИРСКАЯ 11Б 2018 год</t>
  </si>
  <si>
    <t>30 ЛЕТ ПОБЕДЫ 41 2018 год</t>
  </si>
  <si>
    <t>УНИВЕРСИТЕТСКАЯ 11 2018 год</t>
  </si>
  <si>
    <t>Расходы по содержанию и текущему ремонту систем вентиляции (дымоудаления)</t>
  </si>
  <si>
    <t>Расходы по содержанию цокольного этажа/подвалов/технических коридоров</t>
  </si>
  <si>
    <t>30 ЛЕТ ПОБЕДЫ 10 (1 ввод) 2018 год</t>
  </si>
  <si>
    <t>30 ЛЕТ ПОБЕДЫ 10 (2 ввод) 2018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</si>
</sst>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-mm\-yyyy"/>
    <numFmt numFmtId="165" formatCode="[$-FC19]d\ mmmm\ yyyy\ &quot;г.&quot;"/>
    <numFmt numFmtId="166" formatCode="0.0000"/>
    <numFmt numFmtId="167" formatCode="0.000"/>
    <numFmt numFmtId="168" formatCode="0.0"/>
    <numFmt numFmtId="169" formatCode="0.00000"/>
    <numFmt numFmtId="170" formatCode="#,##0.0"/>
    <numFmt numFmtId="171" formatCode="#,##0.000"/>
  </numFmts>
  <fonts count="53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0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1"/>
      <color indexed="20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sz val="12"/>
      <color indexed="30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1"/>
      <color theme="1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0070C0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left"/>
    </xf>
    <xf numFmtId="0" fontId="49" fillId="0" borderId="0" xfId="0" applyFont="1" applyAlignment="1">
      <alignment horizontal="center"/>
    </xf>
    <xf numFmtId="4" fontId="0" fillId="0" borderId="0" xfId="0" applyNumberFormat="1" applyAlignment="1">
      <alignment/>
    </xf>
    <xf numFmtId="1" fontId="49" fillId="0" borderId="0" xfId="0" applyNumberFormat="1" applyFont="1" applyAlignment="1">
      <alignment horizontal="left"/>
    </xf>
    <xf numFmtId="0" fontId="27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" fontId="27" fillId="0" borderId="0" xfId="0" applyNumberFormat="1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 indent="2"/>
    </xf>
    <xf numFmtId="0" fontId="5" fillId="0" borderId="13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left" vertical="center" wrapText="1"/>
    </xf>
    <xf numFmtId="0" fontId="6" fillId="0" borderId="13" xfId="0" applyFont="1" applyBorder="1" applyAlignment="1">
      <alignment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 indent="2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3" fontId="30" fillId="0" borderId="0" xfId="0" applyNumberFormat="1" applyFont="1" applyAlignment="1">
      <alignment horizontal="left"/>
    </xf>
    <xf numFmtId="0" fontId="30" fillId="0" borderId="0" xfId="0" applyFont="1" applyAlignment="1">
      <alignment horizontal="left"/>
    </xf>
    <xf numFmtId="0" fontId="50" fillId="0" borderId="0" xfId="0" applyFont="1" applyBorder="1" applyAlignment="1">
      <alignment horizontal="left" vertical="center" wrapText="1" indent="2"/>
    </xf>
    <xf numFmtId="0" fontId="50" fillId="0" borderId="0" xfId="0" applyFont="1" applyBorder="1" applyAlignment="1">
      <alignment vertical="center" wrapText="1"/>
    </xf>
    <xf numFmtId="0" fontId="50" fillId="0" borderId="0" xfId="0" applyFont="1" applyBorder="1" applyAlignment="1">
      <alignment horizontal="center" vertical="center" wrapText="1"/>
    </xf>
    <xf numFmtId="1" fontId="51" fillId="0" borderId="0" xfId="0" applyNumberFormat="1" applyFont="1" applyBorder="1" applyAlignment="1">
      <alignment horizontal="left" vertical="center" wrapText="1"/>
    </xf>
    <xf numFmtId="3" fontId="6" fillId="0" borderId="0" xfId="0" applyNumberFormat="1" applyFont="1" applyAlignment="1">
      <alignment horizontal="left"/>
    </xf>
    <xf numFmtId="1" fontId="6" fillId="33" borderId="13" xfId="0" applyNumberFormat="1" applyFont="1" applyFill="1" applyBorder="1" applyAlignment="1">
      <alignment horizontal="left" vertical="center" wrapText="1"/>
    </xf>
    <xf numFmtId="4" fontId="49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left"/>
    </xf>
    <xf numFmtId="3" fontId="52" fillId="0" borderId="0" xfId="0" applyNumberFormat="1" applyFont="1" applyAlignment="1">
      <alignment horizontal="left"/>
    </xf>
    <xf numFmtId="3" fontId="49" fillId="0" borderId="0" xfId="0" applyNumberFormat="1" applyFont="1" applyAlignment="1">
      <alignment horizontal="left"/>
    </xf>
    <xf numFmtId="0" fontId="6" fillId="19" borderId="13" xfId="0" applyFont="1" applyFill="1" applyBorder="1" applyAlignment="1">
      <alignment horizontal="left" vertical="center" wrapText="1"/>
    </xf>
    <xf numFmtId="1" fontId="6" fillId="19" borderId="13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43" fontId="49" fillId="0" borderId="0" xfId="63" applyFont="1" applyAlignment="1">
      <alignment/>
    </xf>
    <xf numFmtId="43" fontId="49" fillId="0" borderId="0" xfId="63" applyFont="1" applyAlignment="1">
      <alignment horizontal="left"/>
    </xf>
    <xf numFmtId="1" fontId="6" fillId="0" borderId="13" xfId="0" applyNumberFormat="1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43" fontId="6" fillId="0" borderId="13" xfId="63" applyFont="1" applyFill="1" applyBorder="1" applyAlignment="1">
      <alignment horizontal="left" vertical="center" wrapText="1"/>
    </xf>
    <xf numFmtId="43" fontId="2" fillId="0" borderId="0" xfId="63" applyFont="1" applyAlignment="1">
      <alignment horizontal="center"/>
    </xf>
    <xf numFmtId="43" fontId="2" fillId="0" borderId="0" xfId="0" applyNumberFormat="1" applyFont="1" applyAlignment="1">
      <alignment horizontal="left"/>
    </xf>
    <xf numFmtId="43" fontId="49" fillId="0" borderId="0" xfId="63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0"/>
  <sheetViews>
    <sheetView view="pageBreakPreview" zoomScaleSheetLayoutView="100" zoomScalePageLayoutView="0" workbookViewId="0" topLeftCell="A52">
      <selection activeCell="F31" sqref="F31"/>
    </sheetView>
  </sheetViews>
  <sheetFormatPr defaultColWidth="9.140625" defaultRowHeight="15"/>
  <cols>
    <col min="1" max="1" width="7.28125" style="1" bestFit="1" customWidth="1"/>
    <col min="2" max="2" width="47.140625" style="1" customWidth="1"/>
    <col min="3" max="3" width="13.140625" style="3" customWidth="1"/>
    <col min="4" max="4" width="78.00390625" style="2" customWidth="1"/>
    <col min="6" max="6" width="13.140625" style="0" customWidth="1"/>
  </cols>
  <sheetData>
    <row r="1" spans="1:4" ht="61.5" customHeight="1">
      <c r="A1" s="45" t="s">
        <v>33</v>
      </c>
      <c r="B1" s="45"/>
      <c r="C1" s="45"/>
      <c r="D1" s="45"/>
    </row>
    <row r="2" spans="1:4" ht="16.5" thickBot="1">
      <c r="A2" s="11"/>
      <c r="B2" s="12" t="s">
        <v>37</v>
      </c>
      <c r="C2" s="13"/>
      <c r="D2" s="14"/>
    </row>
    <row r="3" spans="1:4" ht="16.5" thickBot="1">
      <c r="A3" s="15" t="s">
        <v>0</v>
      </c>
      <c r="B3" s="16" t="s">
        <v>1</v>
      </c>
      <c r="C3" s="16" t="s">
        <v>2</v>
      </c>
      <c r="D3" s="17" t="s">
        <v>3</v>
      </c>
    </row>
    <row r="4" spans="1:4" ht="27.75" customHeight="1" thickBot="1">
      <c r="A4" s="18" t="s">
        <v>30</v>
      </c>
      <c r="B4" s="19" t="s">
        <v>4</v>
      </c>
      <c r="C4" s="20" t="s">
        <v>10</v>
      </c>
      <c r="D4" s="21" t="s">
        <v>36</v>
      </c>
    </row>
    <row r="5" spans="1:4" ht="25.5" customHeight="1" thickBot="1">
      <c r="A5" s="18" t="s">
        <v>31</v>
      </c>
      <c r="B5" s="22" t="s">
        <v>6</v>
      </c>
      <c r="C5" s="20" t="s">
        <v>5</v>
      </c>
      <c r="D5" s="51" t="s">
        <v>12</v>
      </c>
    </row>
    <row r="6" spans="1:4" ht="32.25" thickBot="1">
      <c r="A6" s="18" t="s">
        <v>32</v>
      </c>
      <c r="B6" s="22" t="s">
        <v>11</v>
      </c>
      <c r="C6" s="20" t="s">
        <v>7</v>
      </c>
      <c r="D6" s="48">
        <f>6.21*11792.7*12</f>
        <v>878792.004</v>
      </c>
    </row>
    <row r="7" spans="1:4" ht="16.5" thickBot="1">
      <c r="A7" s="15" t="s">
        <v>0</v>
      </c>
      <c r="B7" s="16" t="s">
        <v>1</v>
      </c>
      <c r="C7" s="16" t="s">
        <v>2</v>
      </c>
      <c r="D7" s="49" t="s">
        <v>3</v>
      </c>
    </row>
    <row r="8" spans="1:4" ht="27" customHeight="1" thickBot="1">
      <c r="A8" s="18" t="s">
        <v>30</v>
      </c>
      <c r="B8" s="19" t="s">
        <v>4</v>
      </c>
      <c r="C8" s="20" t="s">
        <v>10</v>
      </c>
      <c r="D8" s="21" t="s">
        <v>36</v>
      </c>
    </row>
    <row r="9" spans="1:4" ht="24.75" customHeight="1" thickBot="1">
      <c r="A9" s="18" t="s">
        <v>31</v>
      </c>
      <c r="B9" s="22" t="s">
        <v>6</v>
      </c>
      <c r="C9" s="20" t="s">
        <v>5</v>
      </c>
      <c r="D9" s="51" t="s">
        <v>13</v>
      </c>
    </row>
    <row r="10" spans="1:4" ht="27.75" customHeight="1" thickBot="1">
      <c r="A10" s="18" t="s">
        <v>32</v>
      </c>
      <c r="B10" s="22" t="s">
        <v>11</v>
      </c>
      <c r="C10" s="20" t="s">
        <v>7</v>
      </c>
      <c r="D10" s="48">
        <f>1.27*11792.7*12</f>
        <v>179720.74800000002</v>
      </c>
    </row>
    <row r="11" spans="1:4" ht="16.5" thickBot="1">
      <c r="A11" s="15" t="s">
        <v>0</v>
      </c>
      <c r="B11" s="16" t="s">
        <v>1</v>
      </c>
      <c r="C11" s="16" t="s">
        <v>2</v>
      </c>
      <c r="D11" s="49" t="s">
        <v>3</v>
      </c>
    </row>
    <row r="12" spans="1:4" ht="32.25" thickBot="1">
      <c r="A12" s="18" t="s">
        <v>30</v>
      </c>
      <c r="B12" s="19" t="s">
        <v>4</v>
      </c>
      <c r="C12" s="20" t="s">
        <v>10</v>
      </c>
      <c r="D12" s="50" t="s">
        <v>36</v>
      </c>
    </row>
    <row r="13" spans="1:4" ht="24.75" customHeight="1" thickBot="1">
      <c r="A13" s="18" t="s">
        <v>31</v>
      </c>
      <c r="B13" s="22" t="s">
        <v>6</v>
      </c>
      <c r="C13" s="20" t="s">
        <v>5</v>
      </c>
      <c r="D13" s="51" t="s">
        <v>14</v>
      </c>
    </row>
    <row r="14" spans="1:4" ht="32.25" thickBot="1">
      <c r="A14" s="18" t="s">
        <v>32</v>
      </c>
      <c r="B14" s="22" t="s">
        <v>11</v>
      </c>
      <c r="C14" s="20" t="s">
        <v>7</v>
      </c>
      <c r="D14" s="48">
        <f>3.07*11792.7*12</f>
        <v>434443.06799999997</v>
      </c>
    </row>
    <row r="15" spans="1:4" ht="16.5" thickBot="1">
      <c r="A15" s="15" t="s">
        <v>0</v>
      </c>
      <c r="B15" s="16" t="s">
        <v>1</v>
      </c>
      <c r="C15" s="16" t="s">
        <v>2</v>
      </c>
      <c r="D15" s="49" t="s">
        <v>3</v>
      </c>
    </row>
    <row r="16" spans="1:4" ht="24" customHeight="1" thickBot="1">
      <c r="A16" s="18" t="s">
        <v>30</v>
      </c>
      <c r="B16" s="19" t="s">
        <v>4</v>
      </c>
      <c r="C16" s="20" t="s">
        <v>10</v>
      </c>
      <c r="D16" s="50" t="s">
        <v>36</v>
      </c>
    </row>
    <row r="17" spans="1:4" ht="32.25" thickBot="1">
      <c r="A17" s="18" t="s">
        <v>31</v>
      </c>
      <c r="B17" s="22" t="s">
        <v>6</v>
      </c>
      <c r="C17" s="20" t="s">
        <v>5</v>
      </c>
      <c r="D17" s="51" t="s">
        <v>15</v>
      </c>
    </row>
    <row r="18" spans="1:4" ht="32.25" thickBot="1">
      <c r="A18" s="18" t="s">
        <v>32</v>
      </c>
      <c r="B18" s="22" t="s">
        <v>11</v>
      </c>
      <c r="C18" s="20" t="s">
        <v>7</v>
      </c>
      <c r="D18" s="48">
        <f>1.48*11792.7*12</f>
        <v>209438.352</v>
      </c>
    </row>
    <row r="19" spans="1:4" ht="16.5" thickBot="1">
      <c r="A19" s="15" t="s">
        <v>0</v>
      </c>
      <c r="B19" s="16" t="s">
        <v>1</v>
      </c>
      <c r="C19" s="16" t="s">
        <v>2</v>
      </c>
      <c r="D19" s="49" t="s">
        <v>3</v>
      </c>
    </row>
    <row r="20" spans="1:4" ht="27" customHeight="1" thickBot="1">
      <c r="A20" s="18" t="s">
        <v>30</v>
      </c>
      <c r="B20" s="19" t="s">
        <v>4</v>
      </c>
      <c r="C20" s="20" t="s">
        <v>10</v>
      </c>
      <c r="D20" s="50" t="s">
        <v>36</v>
      </c>
    </row>
    <row r="21" spans="1:4" ht="50.25" customHeight="1" thickBot="1">
      <c r="A21" s="18" t="s">
        <v>31</v>
      </c>
      <c r="B21" s="22" t="s">
        <v>6</v>
      </c>
      <c r="C21" s="20" t="s">
        <v>5</v>
      </c>
      <c r="D21" s="51" t="s">
        <v>16</v>
      </c>
    </row>
    <row r="22" spans="1:4" ht="32.25" thickBot="1">
      <c r="A22" s="18" t="s">
        <v>32</v>
      </c>
      <c r="B22" s="22" t="s">
        <v>11</v>
      </c>
      <c r="C22" s="20" t="s">
        <v>7</v>
      </c>
      <c r="D22" s="48">
        <f>0.44*11792.7*12</f>
        <v>62265.456000000006</v>
      </c>
    </row>
    <row r="23" spans="1:4" ht="16.5" thickBot="1">
      <c r="A23" s="15" t="s">
        <v>0</v>
      </c>
      <c r="B23" s="16" t="s">
        <v>1</v>
      </c>
      <c r="C23" s="16" t="s">
        <v>2</v>
      </c>
      <c r="D23" s="49" t="s">
        <v>3</v>
      </c>
    </row>
    <row r="24" spans="1:4" ht="26.25" customHeight="1" thickBot="1">
      <c r="A24" s="18" t="s">
        <v>30</v>
      </c>
      <c r="B24" s="19" t="s">
        <v>4</v>
      </c>
      <c r="C24" s="20" t="s">
        <v>10</v>
      </c>
      <c r="D24" s="50" t="s">
        <v>36</v>
      </c>
    </row>
    <row r="25" spans="1:4" ht="32.25" thickBot="1">
      <c r="A25" s="18" t="s">
        <v>31</v>
      </c>
      <c r="B25" s="22" t="s">
        <v>6</v>
      </c>
      <c r="C25" s="20" t="s">
        <v>5</v>
      </c>
      <c r="D25" s="51" t="s">
        <v>19</v>
      </c>
    </row>
    <row r="26" spans="1:4" ht="32.25" thickBot="1">
      <c r="A26" s="18" t="s">
        <v>32</v>
      </c>
      <c r="B26" s="22" t="s">
        <v>11</v>
      </c>
      <c r="C26" s="20" t="s">
        <v>7</v>
      </c>
      <c r="D26" s="48">
        <f>7.94*11792.7*12</f>
        <v>1123608.4560000002</v>
      </c>
    </row>
    <row r="27" spans="1:4" ht="16.5" thickBot="1">
      <c r="A27" s="15" t="s">
        <v>0</v>
      </c>
      <c r="B27" s="16" t="s">
        <v>1</v>
      </c>
      <c r="C27" s="16" t="s">
        <v>2</v>
      </c>
      <c r="D27" s="49" t="s">
        <v>3</v>
      </c>
    </row>
    <row r="28" spans="1:4" ht="20.25" customHeight="1" thickBot="1">
      <c r="A28" s="18" t="s">
        <v>30</v>
      </c>
      <c r="B28" s="19" t="s">
        <v>4</v>
      </c>
      <c r="C28" s="20" t="s">
        <v>10</v>
      </c>
      <c r="D28" s="50" t="s">
        <v>36</v>
      </c>
    </row>
    <row r="29" spans="1:4" ht="46.5" customHeight="1" thickBot="1">
      <c r="A29" s="18" t="s">
        <v>31</v>
      </c>
      <c r="B29" s="22" t="s">
        <v>6</v>
      </c>
      <c r="C29" s="20" t="s">
        <v>5</v>
      </c>
      <c r="D29" s="51" t="s">
        <v>23</v>
      </c>
    </row>
    <row r="30" spans="1:4" ht="32.25" thickBot="1">
      <c r="A30" s="18" t="s">
        <v>32</v>
      </c>
      <c r="B30" s="22" t="s">
        <v>11</v>
      </c>
      <c r="C30" s="20" t="s">
        <v>7</v>
      </c>
      <c r="D30" s="48">
        <f>6.73*11792.7*12</f>
        <v>952378.4520000002</v>
      </c>
    </row>
    <row r="31" spans="1:6" ht="16.5" thickBot="1">
      <c r="A31" s="15" t="s">
        <v>0</v>
      </c>
      <c r="B31" s="16" t="s">
        <v>1</v>
      </c>
      <c r="C31" s="16" t="s">
        <v>2</v>
      </c>
      <c r="D31" s="49" t="s">
        <v>3</v>
      </c>
      <c r="F31" s="4"/>
    </row>
    <row r="32" spans="1:4" ht="15.75" customHeight="1" thickBot="1">
      <c r="A32" s="18" t="s">
        <v>30</v>
      </c>
      <c r="B32" s="19" t="s">
        <v>4</v>
      </c>
      <c r="C32" s="20" t="s">
        <v>10</v>
      </c>
      <c r="D32" s="50" t="s">
        <v>36</v>
      </c>
    </row>
    <row r="33" spans="1:4" ht="32.25" thickBot="1">
      <c r="A33" s="18" t="s">
        <v>31</v>
      </c>
      <c r="B33" s="22" t="s">
        <v>6</v>
      </c>
      <c r="C33" s="20" t="s">
        <v>5</v>
      </c>
      <c r="D33" s="51" t="s">
        <v>21</v>
      </c>
    </row>
    <row r="34" spans="1:4" ht="32.25" thickBot="1">
      <c r="A34" s="18" t="s">
        <v>32</v>
      </c>
      <c r="B34" s="22" t="s">
        <v>11</v>
      </c>
      <c r="C34" s="20" t="s">
        <v>7</v>
      </c>
      <c r="D34" s="48">
        <f>6.42*11792.7*12</f>
        <v>908509.608</v>
      </c>
    </row>
    <row r="35" spans="1:4" ht="16.5" thickBot="1">
      <c r="A35" s="15" t="s">
        <v>0</v>
      </c>
      <c r="B35" s="16" t="s">
        <v>1</v>
      </c>
      <c r="C35" s="16" t="s">
        <v>2</v>
      </c>
      <c r="D35" s="49" t="s">
        <v>3</v>
      </c>
    </row>
    <row r="36" spans="1:4" ht="15" customHeight="1" thickBot="1">
      <c r="A36" s="18" t="s">
        <v>30</v>
      </c>
      <c r="B36" s="19" t="s">
        <v>4</v>
      </c>
      <c r="C36" s="20" t="s">
        <v>10</v>
      </c>
      <c r="D36" s="50" t="s">
        <v>36</v>
      </c>
    </row>
    <row r="37" spans="1:4" ht="32.25" thickBot="1">
      <c r="A37" s="18" t="s">
        <v>31</v>
      </c>
      <c r="B37" s="22" t="s">
        <v>6</v>
      </c>
      <c r="C37" s="20" t="s">
        <v>5</v>
      </c>
      <c r="D37" s="51" t="s">
        <v>18</v>
      </c>
    </row>
    <row r="38" spans="1:4" ht="32.25" thickBot="1">
      <c r="A38" s="18" t="s">
        <v>32</v>
      </c>
      <c r="B38" s="22" t="s">
        <v>11</v>
      </c>
      <c r="C38" s="20" t="s">
        <v>7</v>
      </c>
      <c r="D38" s="48">
        <f>1.97*11792.7*12</f>
        <v>278779.428</v>
      </c>
    </row>
    <row r="39" spans="1:4" ht="16.5" thickBot="1">
      <c r="A39" s="15" t="s">
        <v>0</v>
      </c>
      <c r="B39" s="16" t="s">
        <v>1</v>
      </c>
      <c r="C39" s="16" t="s">
        <v>2</v>
      </c>
      <c r="D39" s="49" t="s">
        <v>3</v>
      </c>
    </row>
    <row r="40" spans="1:4" ht="19.5" customHeight="1" thickBot="1">
      <c r="A40" s="18" t="s">
        <v>30</v>
      </c>
      <c r="B40" s="19" t="s">
        <v>4</v>
      </c>
      <c r="C40" s="20" t="s">
        <v>10</v>
      </c>
      <c r="D40" s="50" t="s">
        <v>36</v>
      </c>
    </row>
    <row r="41" spans="1:4" ht="32.25" thickBot="1">
      <c r="A41" s="18" t="s">
        <v>31</v>
      </c>
      <c r="B41" s="22" t="s">
        <v>6</v>
      </c>
      <c r="C41" s="20" t="s">
        <v>5</v>
      </c>
      <c r="D41" s="51" t="s">
        <v>8</v>
      </c>
    </row>
    <row r="42" spans="1:4" ht="21.75" customHeight="1" thickBot="1">
      <c r="A42" s="18" t="s">
        <v>32</v>
      </c>
      <c r="B42" s="22" t="s">
        <v>11</v>
      </c>
      <c r="C42" s="20" t="s">
        <v>7</v>
      </c>
      <c r="D42" s="48">
        <f>9600</f>
        <v>9600</v>
      </c>
    </row>
    <row r="43" spans="1:4" ht="16.5" thickBot="1">
      <c r="A43" s="15" t="s">
        <v>0</v>
      </c>
      <c r="B43" s="16" t="s">
        <v>1</v>
      </c>
      <c r="C43" s="16" t="s">
        <v>2</v>
      </c>
      <c r="D43" s="49" t="s">
        <v>3</v>
      </c>
    </row>
    <row r="44" spans="1:4" ht="20.25" customHeight="1" thickBot="1">
      <c r="A44" s="18" t="s">
        <v>30</v>
      </c>
      <c r="B44" s="19" t="s">
        <v>4</v>
      </c>
      <c r="C44" s="20" t="s">
        <v>10</v>
      </c>
      <c r="D44" s="50" t="s">
        <v>36</v>
      </c>
    </row>
    <row r="45" spans="1:4" ht="32.25" thickBot="1">
      <c r="A45" s="18" t="s">
        <v>31</v>
      </c>
      <c r="B45" s="22" t="s">
        <v>6</v>
      </c>
      <c r="C45" s="20" t="s">
        <v>5</v>
      </c>
      <c r="D45" s="51" t="s">
        <v>17</v>
      </c>
    </row>
    <row r="46" spans="1:4" ht="21.75" customHeight="1" thickBot="1">
      <c r="A46" s="18" t="s">
        <v>32</v>
      </c>
      <c r="B46" s="22" t="s">
        <v>11</v>
      </c>
      <c r="C46" s="20" t="s">
        <v>7</v>
      </c>
      <c r="D46" s="48">
        <f>3.35*11792.7*12</f>
        <v>474066.54000000004</v>
      </c>
    </row>
    <row r="47" spans="1:4" ht="16.5" thickBot="1">
      <c r="A47" s="15" t="s">
        <v>0</v>
      </c>
      <c r="B47" s="16" t="s">
        <v>1</v>
      </c>
      <c r="C47" s="16" t="s">
        <v>2</v>
      </c>
      <c r="D47" s="49" t="s">
        <v>3</v>
      </c>
    </row>
    <row r="48" spans="1:4" ht="21" customHeight="1" thickBot="1">
      <c r="A48" s="18" t="s">
        <v>30</v>
      </c>
      <c r="B48" s="19" t="s">
        <v>4</v>
      </c>
      <c r="C48" s="20" t="s">
        <v>10</v>
      </c>
      <c r="D48" s="50" t="s">
        <v>36</v>
      </c>
    </row>
    <row r="49" spans="1:4" ht="30" customHeight="1" thickBot="1">
      <c r="A49" s="18" t="s">
        <v>31</v>
      </c>
      <c r="B49" s="22" t="s">
        <v>6</v>
      </c>
      <c r="C49" s="20" t="s">
        <v>5</v>
      </c>
      <c r="D49" s="51" t="s">
        <v>27</v>
      </c>
    </row>
    <row r="50" spans="1:4" ht="24" customHeight="1" thickBot="1">
      <c r="A50" s="18" t="s">
        <v>32</v>
      </c>
      <c r="B50" s="22" t="s">
        <v>11</v>
      </c>
      <c r="C50" s="20" t="s">
        <v>7</v>
      </c>
      <c r="D50" s="48">
        <f>0.19*11792.7*12</f>
        <v>26887.356000000003</v>
      </c>
    </row>
    <row r="51" spans="1:4" ht="16.5" thickBot="1">
      <c r="A51" s="15" t="s">
        <v>0</v>
      </c>
      <c r="B51" s="16" t="s">
        <v>1</v>
      </c>
      <c r="C51" s="16" t="s">
        <v>2</v>
      </c>
      <c r="D51" s="49" t="s">
        <v>3</v>
      </c>
    </row>
    <row r="52" spans="1:4" ht="14.25" customHeight="1" thickBot="1">
      <c r="A52" s="18" t="s">
        <v>30</v>
      </c>
      <c r="B52" s="19" t="s">
        <v>4</v>
      </c>
      <c r="C52" s="20" t="s">
        <v>10</v>
      </c>
      <c r="D52" s="50" t="s">
        <v>36</v>
      </c>
    </row>
    <row r="53" spans="1:4" ht="32.25" thickBot="1">
      <c r="A53" s="18" t="s">
        <v>31</v>
      </c>
      <c r="B53" s="22" t="s">
        <v>6</v>
      </c>
      <c r="C53" s="20" t="s">
        <v>5</v>
      </c>
      <c r="D53" s="51" t="s">
        <v>22</v>
      </c>
    </row>
    <row r="54" spans="1:4" ht="32.25" thickBot="1">
      <c r="A54" s="18" t="s">
        <v>32</v>
      </c>
      <c r="B54" s="22" t="s">
        <v>11</v>
      </c>
      <c r="C54" s="20" t="s">
        <v>7</v>
      </c>
      <c r="D54" s="48">
        <f>1.26*11792.7*12</f>
        <v>178305.624</v>
      </c>
    </row>
    <row r="55" spans="1:4" ht="16.5" thickBot="1">
      <c r="A55" s="15" t="s">
        <v>0</v>
      </c>
      <c r="B55" s="16" t="s">
        <v>1</v>
      </c>
      <c r="C55" s="16" t="s">
        <v>2</v>
      </c>
      <c r="D55" s="49" t="s">
        <v>3</v>
      </c>
    </row>
    <row r="56" spans="1:4" ht="15" customHeight="1" thickBot="1">
      <c r="A56" s="18" t="s">
        <v>30</v>
      </c>
      <c r="B56" s="19" t="s">
        <v>4</v>
      </c>
      <c r="C56" s="20" t="s">
        <v>10</v>
      </c>
      <c r="D56" s="50" t="s">
        <v>36</v>
      </c>
    </row>
    <row r="57" spans="1:4" ht="32.25" thickBot="1">
      <c r="A57" s="18" t="s">
        <v>31</v>
      </c>
      <c r="B57" s="22" t="s">
        <v>6</v>
      </c>
      <c r="C57" s="20" t="s">
        <v>5</v>
      </c>
      <c r="D57" s="51" t="s">
        <v>24</v>
      </c>
    </row>
    <row r="58" spans="1:4" ht="24" customHeight="1" thickBot="1">
      <c r="A58" s="18" t="s">
        <v>32</v>
      </c>
      <c r="B58" s="22" t="s">
        <v>11</v>
      </c>
      <c r="C58" s="20" t="s">
        <v>7</v>
      </c>
      <c r="D58" s="48">
        <f>(0.8*11792.7*12)+(0.15*11792.7*12)</f>
        <v>134436.78000000003</v>
      </c>
    </row>
    <row r="59" spans="1:4" ht="18" customHeight="1" thickBot="1">
      <c r="A59" s="18" t="s">
        <v>30</v>
      </c>
      <c r="B59" s="19" t="s">
        <v>4</v>
      </c>
      <c r="C59" s="20" t="s">
        <v>10</v>
      </c>
      <c r="D59" s="50" t="s">
        <v>36</v>
      </c>
    </row>
    <row r="60" spans="1:4" ht="32.25" thickBot="1">
      <c r="A60" s="18" t="s">
        <v>31</v>
      </c>
      <c r="B60" s="22" t="s">
        <v>6</v>
      </c>
      <c r="C60" s="20" t="s">
        <v>5</v>
      </c>
      <c r="D60" s="51" t="s">
        <v>25</v>
      </c>
    </row>
    <row r="61" spans="1:4" ht="32.25" thickBot="1">
      <c r="A61" s="18" t="s">
        <v>32</v>
      </c>
      <c r="B61" s="22" t="s">
        <v>11</v>
      </c>
      <c r="C61" s="20" t="s">
        <v>7</v>
      </c>
      <c r="D61" s="48">
        <f>0.17*11792.7*12</f>
        <v>24057.108000000004</v>
      </c>
    </row>
    <row r="62" spans="1:4" ht="15.75">
      <c r="A62" s="28"/>
      <c r="B62" s="28"/>
      <c r="C62" s="13"/>
      <c r="D62" s="14"/>
    </row>
    <row r="63" spans="1:4" ht="15.75">
      <c r="A63" s="28"/>
      <c r="B63" s="28" t="s">
        <v>35</v>
      </c>
      <c r="C63" s="13"/>
      <c r="D63" s="14"/>
    </row>
    <row r="64" spans="1:4" ht="15.75" hidden="1">
      <c r="A64" s="28"/>
      <c r="B64" s="28"/>
      <c r="C64" s="13"/>
      <c r="D64" s="37">
        <f>D61+D58+D54+D50+D46+D42+D38+D34+D30+D26+D22+D18+D14+D10+D6</f>
        <v>5875288.9799999995</v>
      </c>
    </row>
    <row r="65" ht="15" hidden="1"/>
    <row r="66" spans="3:4" ht="15" hidden="1">
      <c r="C66" s="3" t="s">
        <v>34</v>
      </c>
      <c r="D66" s="39">
        <f>41.45*11793.7*11/1.18+39.76*11793.7/1.18+D42</f>
        <v>4964053.412711865</v>
      </c>
    </row>
    <row r="67" ht="15" hidden="1"/>
    <row r="68" ht="15" hidden="1">
      <c r="D68" s="39">
        <f>D64-D66</f>
        <v>911235.5672881342</v>
      </c>
    </row>
    <row r="69" ht="15" hidden="1"/>
    <row r="70" ht="15" hidden="1"/>
    <row r="71" ht="15" hidden="1"/>
    <row r="72" ht="15" hidden="1">
      <c r="D72" s="42">
        <f>D64-D42</f>
        <v>5865688.9799999995</v>
      </c>
    </row>
    <row r="73" ht="15" hidden="1"/>
    <row r="74" ht="15" hidden="1"/>
    <row r="75" ht="15" hidden="1"/>
    <row r="80" spans="2:4" ht="15">
      <c r="B80" s="46">
        <f>41.45*11792.7*12</f>
        <v>5865688.98</v>
      </c>
      <c r="D80" s="47">
        <f>D6+D10+D14+D18+D22+D26+D30+D34+D38+D46+D50+D54+D58+D61</f>
        <v>5865688.9799999995</v>
      </c>
    </row>
  </sheetData>
  <sheetProtection/>
  <mergeCells count="1">
    <mergeCell ref="A1:D1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3"/>
  <sheetViews>
    <sheetView tabSelected="1" view="pageBreakPreview" zoomScaleSheetLayoutView="100" zoomScalePageLayoutView="0" workbookViewId="0" topLeftCell="A46">
      <selection activeCell="F35" sqref="F35"/>
    </sheetView>
  </sheetViews>
  <sheetFormatPr defaultColWidth="9.140625" defaultRowHeight="15"/>
  <cols>
    <col min="1" max="1" width="7.28125" style="10" bestFit="1" customWidth="1"/>
    <col min="2" max="2" width="42.421875" style="10" customWidth="1"/>
    <col min="3" max="3" width="18.140625" style="7" customWidth="1"/>
    <col min="4" max="4" width="77.140625" style="8" customWidth="1"/>
    <col min="5" max="5" width="9.140625" style="6" customWidth="1"/>
    <col min="6" max="6" width="13.140625" style="6" customWidth="1"/>
    <col min="7" max="16384" width="9.140625" style="6" customWidth="1"/>
  </cols>
  <sheetData>
    <row r="1" spans="1:4" ht="56.25" customHeight="1">
      <c r="A1" s="45" t="s">
        <v>9</v>
      </c>
      <c r="B1" s="45"/>
      <c r="C1" s="45"/>
      <c r="D1" s="45"/>
    </row>
    <row r="2" spans="1:4" ht="29.25" customHeight="1" thickBot="1">
      <c r="A2" s="11"/>
      <c r="B2" s="12" t="s">
        <v>38</v>
      </c>
      <c r="C2" s="13"/>
      <c r="D2" s="14"/>
    </row>
    <row r="3" spans="1:4" ht="19.5" customHeight="1" thickBot="1">
      <c r="A3" s="15" t="s">
        <v>0</v>
      </c>
      <c r="B3" s="16" t="s">
        <v>1</v>
      </c>
      <c r="C3" s="16" t="s">
        <v>2</v>
      </c>
      <c r="D3" s="17" t="s">
        <v>3</v>
      </c>
    </row>
    <row r="4" spans="1:4" ht="33" customHeight="1" thickBot="1">
      <c r="A4" s="18" t="s">
        <v>30</v>
      </c>
      <c r="B4" s="19" t="s">
        <v>4</v>
      </c>
      <c r="C4" s="20" t="s">
        <v>10</v>
      </c>
      <c r="D4" s="50" t="s">
        <v>36</v>
      </c>
    </row>
    <row r="5" spans="1:4" ht="32.25" thickBot="1">
      <c r="A5" s="18" t="s">
        <v>31</v>
      </c>
      <c r="B5" s="22" t="s">
        <v>6</v>
      </c>
      <c r="C5" s="20" t="s">
        <v>5</v>
      </c>
      <c r="D5" s="51" t="s">
        <v>12</v>
      </c>
    </row>
    <row r="6" spans="1:4" ht="28.5" customHeight="1" thickBot="1">
      <c r="A6" s="18" t="s">
        <v>32</v>
      </c>
      <c r="B6" s="22" t="s">
        <v>11</v>
      </c>
      <c r="C6" s="20" t="s">
        <v>7</v>
      </c>
      <c r="D6" s="48">
        <f>6.21*16588.52*12</f>
        <v>1236176.5104</v>
      </c>
    </row>
    <row r="7" spans="1:4" ht="15.75" customHeight="1" thickBot="1">
      <c r="A7" s="15" t="s">
        <v>0</v>
      </c>
      <c r="B7" s="16" t="s">
        <v>1</v>
      </c>
      <c r="C7" s="16" t="s">
        <v>2</v>
      </c>
      <c r="D7" s="49" t="s">
        <v>3</v>
      </c>
    </row>
    <row r="8" spans="1:4" ht="26.25" customHeight="1" thickBot="1">
      <c r="A8" s="18" t="s">
        <v>30</v>
      </c>
      <c r="B8" s="19" t="s">
        <v>4</v>
      </c>
      <c r="C8" s="20" t="s">
        <v>10</v>
      </c>
      <c r="D8" s="50" t="s">
        <v>36</v>
      </c>
    </row>
    <row r="9" spans="1:4" ht="27" customHeight="1" thickBot="1">
      <c r="A9" s="18" t="s">
        <v>31</v>
      </c>
      <c r="B9" s="22" t="s">
        <v>6</v>
      </c>
      <c r="C9" s="20" t="s">
        <v>5</v>
      </c>
      <c r="D9" s="51" t="s">
        <v>13</v>
      </c>
    </row>
    <row r="10" spans="1:4" ht="27" customHeight="1" thickBot="1">
      <c r="A10" s="18" t="s">
        <v>32</v>
      </c>
      <c r="B10" s="22" t="s">
        <v>11</v>
      </c>
      <c r="C10" s="20" t="s">
        <v>7</v>
      </c>
      <c r="D10" s="48">
        <f>1.27*16588.52*12</f>
        <v>252809.04479999997</v>
      </c>
    </row>
    <row r="11" spans="1:4" ht="16.5" thickBot="1">
      <c r="A11" s="15" t="s">
        <v>0</v>
      </c>
      <c r="B11" s="16" t="s">
        <v>1</v>
      </c>
      <c r="C11" s="16" t="s">
        <v>2</v>
      </c>
      <c r="D11" s="49" t="s">
        <v>3</v>
      </c>
    </row>
    <row r="12" spans="1:4" ht="27" customHeight="1" thickBot="1">
      <c r="A12" s="18" t="s">
        <v>30</v>
      </c>
      <c r="B12" s="19" t="s">
        <v>4</v>
      </c>
      <c r="C12" s="20" t="s">
        <v>10</v>
      </c>
      <c r="D12" s="50" t="s">
        <v>36</v>
      </c>
    </row>
    <row r="13" spans="1:4" ht="32.25" thickBot="1">
      <c r="A13" s="18" t="s">
        <v>31</v>
      </c>
      <c r="B13" s="22" t="s">
        <v>6</v>
      </c>
      <c r="C13" s="20" t="s">
        <v>5</v>
      </c>
      <c r="D13" s="51" t="s">
        <v>14</v>
      </c>
    </row>
    <row r="14" spans="1:4" ht="23.25" customHeight="1" thickBot="1">
      <c r="A14" s="18" t="s">
        <v>32</v>
      </c>
      <c r="B14" s="22" t="s">
        <v>11</v>
      </c>
      <c r="C14" s="20" t="s">
        <v>7</v>
      </c>
      <c r="D14" s="48">
        <f>3.07*16588.52*12</f>
        <v>611121.0767999999</v>
      </c>
    </row>
    <row r="15" spans="1:4" ht="21" customHeight="1" thickBot="1">
      <c r="A15" s="15" t="s">
        <v>0</v>
      </c>
      <c r="B15" s="16" t="s">
        <v>1</v>
      </c>
      <c r="C15" s="16" t="s">
        <v>2</v>
      </c>
      <c r="D15" s="49" t="s">
        <v>3</v>
      </c>
    </row>
    <row r="16" spans="1:4" ht="21" customHeight="1" thickBot="1">
      <c r="A16" s="18" t="s">
        <v>30</v>
      </c>
      <c r="B16" s="19" t="s">
        <v>4</v>
      </c>
      <c r="C16" s="20" t="s">
        <v>10</v>
      </c>
      <c r="D16" s="50" t="s">
        <v>36</v>
      </c>
    </row>
    <row r="17" spans="1:4" ht="32.25" thickBot="1">
      <c r="A17" s="18" t="s">
        <v>31</v>
      </c>
      <c r="B17" s="22" t="s">
        <v>6</v>
      </c>
      <c r="C17" s="20" t="s">
        <v>5</v>
      </c>
      <c r="D17" s="51" t="s">
        <v>15</v>
      </c>
    </row>
    <row r="18" spans="1:4" ht="24" customHeight="1" thickBot="1">
      <c r="A18" s="18" t="s">
        <v>32</v>
      </c>
      <c r="B18" s="22" t="s">
        <v>11</v>
      </c>
      <c r="C18" s="20" t="s">
        <v>7</v>
      </c>
      <c r="D18" s="48">
        <f>1.48*16588.52*12</f>
        <v>294612.1152</v>
      </c>
    </row>
    <row r="19" spans="1:4" ht="20.25" customHeight="1" thickBot="1">
      <c r="A19" s="15" t="s">
        <v>0</v>
      </c>
      <c r="B19" s="16" t="s">
        <v>1</v>
      </c>
      <c r="C19" s="16" t="s">
        <v>2</v>
      </c>
      <c r="D19" s="49" t="s">
        <v>3</v>
      </c>
    </row>
    <row r="20" spans="1:4" ht="29.25" customHeight="1" thickBot="1">
      <c r="A20" s="18" t="s">
        <v>30</v>
      </c>
      <c r="B20" s="19" t="s">
        <v>4</v>
      </c>
      <c r="C20" s="20" t="s">
        <v>10</v>
      </c>
      <c r="D20" s="50" t="s">
        <v>36</v>
      </c>
    </row>
    <row r="21" spans="1:4" ht="49.5" customHeight="1" thickBot="1">
      <c r="A21" s="18" t="s">
        <v>31</v>
      </c>
      <c r="B21" s="22" t="s">
        <v>6</v>
      </c>
      <c r="C21" s="20" t="s">
        <v>5</v>
      </c>
      <c r="D21" s="51" t="s">
        <v>16</v>
      </c>
    </row>
    <row r="22" spans="1:4" ht="32.25" thickBot="1">
      <c r="A22" s="18" t="s">
        <v>32</v>
      </c>
      <c r="B22" s="22" t="s">
        <v>11</v>
      </c>
      <c r="C22" s="20" t="s">
        <v>7</v>
      </c>
      <c r="D22" s="48">
        <f>0.44*16588.52*12</f>
        <v>87587.38560000001</v>
      </c>
    </row>
    <row r="23" spans="1:4" ht="24.75" customHeight="1" thickBot="1">
      <c r="A23" s="15" t="s">
        <v>0</v>
      </c>
      <c r="B23" s="16" t="s">
        <v>1</v>
      </c>
      <c r="C23" s="16" t="s">
        <v>2</v>
      </c>
      <c r="D23" s="49" t="s">
        <v>3</v>
      </c>
    </row>
    <row r="24" spans="1:4" ht="21" customHeight="1" thickBot="1">
      <c r="A24" s="18" t="s">
        <v>30</v>
      </c>
      <c r="B24" s="19" t="s">
        <v>4</v>
      </c>
      <c r="C24" s="20" t="s">
        <v>10</v>
      </c>
      <c r="D24" s="50" t="s">
        <v>36</v>
      </c>
    </row>
    <row r="25" spans="1:4" ht="24.75" customHeight="1" thickBot="1">
      <c r="A25" s="18" t="s">
        <v>31</v>
      </c>
      <c r="B25" s="22" t="s">
        <v>6</v>
      </c>
      <c r="C25" s="20" t="s">
        <v>5</v>
      </c>
      <c r="D25" s="51" t="s">
        <v>19</v>
      </c>
    </row>
    <row r="26" spans="1:4" ht="32.25" thickBot="1">
      <c r="A26" s="18" t="s">
        <v>32</v>
      </c>
      <c r="B26" s="22" t="s">
        <v>11</v>
      </c>
      <c r="C26" s="20" t="s">
        <v>7</v>
      </c>
      <c r="D26" s="48">
        <f>7.94*16588.52*12</f>
        <v>1580554.1856</v>
      </c>
    </row>
    <row r="27" spans="1:4" ht="19.5" customHeight="1" thickBot="1">
      <c r="A27" s="15" t="s">
        <v>0</v>
      </c>
      <c r="B27" s="16" t="s">
        <v>1</v>
      </c>
      <c r="C27" s="16" t="s">
        <v>2</v>
      </c>
      <c r="D27" s="49" t="s">
        <v>3</v>
      </c>
    </row>
    <row r="28" spans="1:4" ht="32.25" thickBot="1">
      <c r="A28" s="18" t="s">
        <v>30</v>
      </c>
      <c r="B28" s="19" t="s">
        <v>4</v>
      </c>
      <c r="C28" s="20" t="s">
        <v>10</v>
      </c>
      <c r="D28" s="50" t="s">
        <v>36</v>
      </c>
    </row>
    <row r="29" spans="1:4" ht="45.75" customHeight="1" thickBot="1">
      <c r="A29" s="18" t="s">
        <v>31</v>
      </c>
      <c r="B29" s="22" t="s">
        <v>6</v>
      </c>
      <c r="C29" s="20" t="s">
        <v>5</v>
      </c>
      <c r="D29" s="51" t="s">
        <v>23</v>
      </c>
    </row>
    <row r="30" spans="1:4" ht="32.25" thickBot="1">
      <c r="A30" s="18" t="s">
        <v>32</v>
      </c>
      <c r="B30" s="22" t="s">
        <v>11</v>
      </c>
      <c r="C30" s="20" t="s">
        <v>7</v>
      </c>
      <c r="D30" s="48">
        <f>6.73*16588.52*12</f>
        <v>1339688.8752000001</v>
      </c>
    </row>
    <row r="31" spans="1:4" ht="16.5" customHeight="1" thickBot="1">
      <c r="A31" s="15" t="s">
        <v>0</v>
      </c>
      <c r="B31" s="16" t="s">
        <v>1</v>
      </c>
      <c r="C31" s="16" t="s">
        <v>2</v>
      </c>
      <c r="D31" s="49" t="s">
        <v>3</v>
      </c>
    </row>
    <row r="32" spans="1:4" ht="32.25" thickBot="1">
      <c r="A32" s="18" t="s">
        <v>30</v>
      </c>
      <c r="B32" s="19" t="s">
        <v>4</v>
      </c>
      <c r="C32" s="20" t="s">
        <v>10</v>
      </c>
      <c r="D32" s="50" t="s">
        <v>36</v>
      </c>
    </row>
    <row r="33" spans="1:4" ht="32.25" thickBot="1">
      <c r="A33" s="18" t="s">
        <v>31</v>
      </c>
      <c r="B33" s="22" t="s">
        <v>6</v>
      </c>
      <c r="C33" s="20" t="s">
        <v>5</v>
      </c>
      <c r="D33" s="51" t="s">
        <v>20</v>
      </c>
    </row>
    <row r="34" spans="1:4" ht="32.25" thickBot="1">
      <c r="A34" s="18" t="s">
        <v>32</v>
      </c>
      <c r="B34" s="22" t="s">
        <v>11</v>
      </c>
      <c r="C34" s="20" t="s">
        <v>7</v>
      </c>
      <c r="D34" s="48">
        <f>0.17*16588.52*12</f>
        <v>33840.5808</v>
      </c>
    </row>
    <row r="35" spans="1:6" ht="20.25" customHeight="1" thickBot="1">
      <c r="A35" s="15" t="s">
        <v>0</v>
      </c>
      <c r="B35" s="16" t="s">
        <v>1</v>
      </c>
      <c r="C35" s="16" t="s">
        <v>2</v>
      </c>
      <c r="D35" s="49" t="s">
        <v>3</v>
      </c>
      <c r="F35" s="9"/>
    </row>
    <row r="36" spans="1:4" ht="22.5" customHeight="1" thickBot="1">
      <c r="A36" s="18" t="s">
        <v>30</v>
      </c>
      <c r="B36" s="19" t="s">
        <v>4</v>
      </c>
      <c r="C36" s="20" t="s">
        <v>10</v>
      </c>
      <c r="D36" s="50" t="s">
        <v>36</v>
      </c>
    </row>
    <row r="37" spans="1:4" ht="28.5" customHeight="1" thickBot="1">
      <c r="A37" s="18" t="s">
        <v>31</v>
      </c>
      <c r="B37" s="22" t="s">
        <v>6</v>
      </c>
      <c r="C37" s="20" t="s">
        <v>5</v>
      </c>
      <c r="D37" s="51" t="s">
        <v>21</v>
      </c>
    </row>
    <row r="38" spans="1:4" ht="32.25" thickBot="1">
      <c r="A38" s="18" t="s">
        <v>32</v>
      </c>
      <c r="B38" s="22" t="s">
        <v>11</v>
      </c>
      <c r="C38" s="20" t="s">
        <v>7</v>
      </c>
      <c r="D38" s="48">
        <f>6.42*16588.52*12</f>
        <v>1277979.5808</v>
      </c>
    </row>
    <row r="39" spans="1:4" ht="16.5" thickBot="1">
      <c r="A39" s="15" t="s">
        <v>0</v>
      </c>
      <c r="B39" s="16" t="s">
        <v>1</v>
      </c>
      <c r="C39" s="16" t="s">
        <v>2</v>
      </c>
      <c r="D39" s="49" t="s">
        <v>3</v>
      </c>
    </row>
    <row r="40" spans="1:4" ht="32.25" thickBot="1">
      <c r="A40" s="18" t="s">
        <v>30</v>
      </c>
      <c r="B40" s="19" t="s">
        <v>4</v>
      </c>
      <c r="C40" s="20" t="s">
        <v>10</v>
      </c>
      <c r="D40" s="50" t="s">
        <v>36</v>
      </c>
    </row>
    <row r="41" spans="1:4" ht="18" customHeight="1" thickBot="1">
      <c r="A41" s="18" t="s">
        <v>31</v>
      </c>
      <c r="B41" s="22" t="s">
        <v>6</v>
      </c>
      <c r="C41" s="20" t="s">
        <v>5</v>
      </c>
      <c r="D41" s="51" t="s">
        <v>18</v>
      </c>
    </row>
    <row r="42" spans="1:4" ht="18" customHeight="1" thickBot="1">
      <c r="A42" s="18" t="s">
        <v>32</v>
      </c>
      <c r="B42" s="22" t="s">
        <v>11</v>
      </c>
      <c r="C42" s="20" t="s">
        <v>7</v>
      </c>
      <c r="D42" s="48">
        <f>1.97*16588.52*12</f>
        <v>392152.6128</v>
      </c>
    </row>
    <row r="43" spans="1:4" ht="18.75" customHeight="1" thickBot="1">
      <c r="A43" s="15" t="s">
        <v>0</v>
      </c>
      <c r="B43" s="16" t="s">
        <v>1</v>
      </c>
      <c r="C43" s="16" t="s">
        <v>2</v>
      </c>
      <c r="D43" s="49" t="s">
        <v>3</v>
      </c>
    </row>
    <row r="44" spans="1:4" ht="21.75" customHeight="1" thickBot="1">
      <c r="A44" s="18" t="s">
        <v>30</v>
      </c>
      <c r="B44" s="19" t="s">
        <v>4</v>
      </c>
      <c r="C44" s="20" t="s">
        <v>10</v>
      </c>
      <c r="D44" s="50" t="s">
        <v>36</v>
      </c>
    </row>
    <row r="45" spans="1:4" ht="21" customHeight="1" thickBot="1">
      <c r="A45" s="18" t="s">
        <v>31</v>
      </c>
      <c r="B45" s="22" t="s">
        <v>6</v>
      </c>
      <c r="C45" s="20" t="s">
        <v>5</v>
      </c>
      <c r="D45" s="51" t="s">
        <v>8</v>
      </c>
    </row>
    <row r="46" spans="1:4" ht="24.75" customHeight="1" thickBot="1">
      <c r="A46" s="18" t="s">
        <v>32</v>
      </c>
      <c r="B46" s="22" t="s">
        <v>11</v>
      </c>
      <c r="C46" s="20" t="s">
        <v>7</v>
      </c>
      <c r="D46" s="52">
        <v>0</v>
      </c>
    </row>
    <row r="47" spans="1:4" ht="25.5" customHeight="1" thickBot="1">
      <c r="A47" s="15" t="s">
        <v>0</v>
      </c>
      <c r="B47" s="16" t="s">
        <v>1</v>
      </c>
      <c r="C47" s="16" t="s">
        <v>2</v>
      </c>
      <c r="D47" s="49" t="s">
        <v>3</v>
      </c>
    </row>
    <row r="48" spans="1:4" ht="25.5" customHeight="1" thickBot="1">
      <c r="A48" s="18" t="s">
        <v>30</v>
      </c>
      <c r="B48" s="19" t="s">
        <v>4</v>
      </c>
      <c r="C48" s="20" t="s">
        <v>10</v>
      </c>
      <c r="D48" s="50" t="s">
        <v>36</v>
      </c>
    </row>
    <row r="49" spans="1:4" ht="19.5" customHeight="1" thickBot="1">
      <c r="A49" s="18" t="s">
        <v>31</v>
      </c>
      <c r="B49" s="22" t="s">
        <v>6</v>
      </c>
      <c r="C49" s="20" t="s">
        <v>5</v>
      </c>
      <c r="D49" s="51" t="s">
        <v>17</v>
      </c>
    </row>
    <row r="50" spans="1:4" ht="29.25" customHeight="1" thickBot="1">
      <c r="A50" s="18" t="s">
        <v>32</v>
      </c>
      <c r="B50" s="22" t="s">
        <v>11</v>
      </c>
      <c r="C50" s="20" t="s">
        <v>7</v>
      </c>
      <c r="D50" s="48">
        <f>3.35*16588.52*12</f>
        <v>666858.504</v>
      </c>
    </row>
    <row r="51" spans="1:4" ht="19.5" customHeight="1" thickBot="1">
      <c r="A51" s="15" t="s">
        <v>0</v>
      </c>
      <c r="B51" s="16" t="s">
        <v>1</v>
      </c>
      <c r="C51" s="16" t="s">
        <v>2</v>
      </c>
      <c r="D51" s="49" t="s">
        <v>3</v>
      </c>
    </row>
    <row r="52" spans="1:4" ht="33.75" customHeight="1" thickBot="1">
      <c r="A52" s="18" t="s">
        <v>30</v>
      </c>
      <c r="B52" s="19" t="s">
        <v>4</v>
      </c>
      <c r="C52" s="20" t="s">
        <v>10</v>
      </c>
      <c r="D52" s="50" t="s">
        <v>36</v>
      </c>
    </row>
    <row r="53" spans="1:4" ht="35.25" customHeight="1" thickBot="1">
      <c r="A53" s="18" t="s">
        <v>31</v>
      </c>
      <c r="B53" s="22" t="s">
        <v>6</v>
      </c>
      <c r="C53" s="20" t="s">
        <v>5</v>
      </c>
      <c r="D53" s="51" t="s">
        <v>26</v>
      </c>
    </row>
    <row r="54" spans="1:4" ht="27" customHeight="1" thickBot="1">
      <c r="A54" s="18" t="s">
        <v>32</v>
      </c>
      <c r="B54" s="22" t="s">
        <v>11</v>
      </c>
      <c r="C54" s="20" t="s">
        <v>7</v>
      </c>
      <c r="D54" s="48">
        <f>0.19*16588.52*12</f>
        <v>37821.8256</v>
      </c>
    </row>
    <row r="55" spans="1:4" ht="18" customHeight="1" thickBot="1">
      <c r="A55" s="15" t="s">
        <v>0</v>
      </c>
      <c r="B55" s="16" t="s">
        <v>1</v>
      </c>
      <c r="C55" s="16" t="s">
        <v>2</v>
      </c>
      <c r="D55" s="49" t="s">
        <v>3</v>
      </c>
    </row>
    <row r="56" spans="1:4" ht="31.5" customHeight="1" thickBot="1">
      <c r="A56" s="18" t="s">
        <v>30</v>
      </c>
      <c r="B56" s="19" t="s">
        <v>4</v>
      </c>
      <c r="C56" s="20" t="s">
        <v>10</v>
      </c>
      <c r="D56" s="50" t="s">
        <v>36</v>
      </c>
    </row>
    <row r="57" spans="1:4" ht="23.25" customHeight="1" thickBot="1">
      <c r="A57" s="18" t="s">
        <v>31</v>
      </c>
      <c r="B57" s="22" t="s">
        <v>6</v>
      </c>
      <c r="C57" s="20" t="s">
        <v>5</v>
      </c>
      <c r="D57" s="51" t="s">
        <v>22</v>
      </c>
    </row>
    <row r="58" spans="1:4" ht="28.5" customHeight="1" thickBot="1">
      <c r="A58" s="18" t="s">
        <v>32</v>
      </c>
      <c r="B58" s="22" t="s">
        <v>11</v>
      </c>
      <c r="C58" s="20" t="s">
        <v>7</v>
      </c>
      <c r="D58" s="48">
        <f>1.26*16588.52*12</f>
        <v>250818.42240000004</v>
      </c>
    </row>
    <row r="59" spans="1:4" ht="24" customHeight="1" thickBot="1">
      <c r="A59" s="15" t="s">
        <v>0</v>
      </c>
      <c r="B59" s="16" t="s">
        <v>1</v>
      </c>
      <c r="C59" s="16" t="s">
        <v>2</v>
      </c>
      <c r="D59" s="49" t="s">
        <v>3</v>
      </c>
    </row>
    <row r="60" spans="1:4" ht="24.75" customHeight="1" thickBot="1">
      <c r="A60" s="18" t="s">
        <v>30</v>
      </c>
      <c r="B60" s="19" t="s">
        <v>4</v>
      </c>
      <c r="C60" s="20" t="s">
        <v>10</v>
      </c>
      <c r="D60" s="50" t="s">
        <v>36</v>
      </c>
    </row>
    <row r="61" spans="1:4" ht="25.5" customHeight="1" thickBot="1">
      <c r="A61" s="18" t="s">
        <v>31</v>
      </c>
      <c r="B61" s="22" t="s">
        <v>6</v>
      </c>
      <c r="C61" s="20" t="s">
        <v>5</v>
      </c>
      <c r="D61" s="51" t="s">
        <v>24</v>
      </c>
    </row>
    <row r="62" spans="1:4" ht="28.5" customHeight="1" thickBot="1">
      <c r="A62" s="18" t="s">
        <v>32</v>
      </c>
      <c r="B62" s="22" t="s">
        <v>11</v>
      </c>
      <c r="C62" s="20" t="s">
        <v>7</v>
      </c>
      <c r="D62" s="48">
        <f>(0.8*16588.52*12)+(0.15*16588.52*12)</f>
        <v>189109.12800000003</v>
      </c>
    </row>
    <row r="63" spans="1:4" ht="15.75">
      <c r="A63" s="28"/>
      <c r="B63" s="28"/>
      <c r="C63" s="13"/>
      <c r="D63" s="14"/>
    </row>
    <row r="64" spans="1:4" ht="15.75">
      <c r="A64" s="28"/>
      <c r="B64" s="28" t="s">
        <v>35</v>
      </c>
      <c r="C64" s="13"/>
      <c r="D64" s="14"/>
    </row>
    <row r="65" spans="1:4" ht="15.75" hidden="1">
      <c r="A65" s="28"/>
      <c r="B65" s="28"/>
      <c r="C65" s="13"/>
      <c r="D65" s="37">
        <f>D62+D58+D54+D50+D46+D42+D38+D34+D30+D26+D22+D18+D14+D10+D6</f>
        <v>8251129.847999999</v>
      </c>
    </row>
    <row r="66" ht="15" hidden="1"/>
    <row r="67" spans="3:4" ht="15" hidden="1">
      <c r="C67" s="7" t="s">
        <v>34</v>
      </c>
      <c r="D67" s="40">
        <f>39.76*16616.24/1.18+D46+16616.24*11*41.45/1.18</f>
        <v>6980369.771525425</v>
      </c>
    </row>
    <row r="68" ht="15" hidden="1"/>
    <row r="69" ht="15" hidden="1">
      <c r="D69" s="40">
        <f>D65-D67</f>
        <v>1270760.0764745744</v>
      </c>
    </row>
    <row r="73" spans="3:4" ht="15">
      <c r="C73" s="53">
        <f>41.45*16588.52*12</f>
        <v>8251129.848000001</v>
      </c>
      <c r="D73" s="54">
        <f>D6+D10+D14+D18+D22+D26+D30+D34+D38+D42+D46+D50+D54+D58+D62</f>
        <v>8251129.848000001</v>
      </c>
    </row>
  </sheetData>
  <sheetProtection/>
  <mergeCells count="1">
    <mergeCell ref="A1:D1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9"/>
  <sheetViews>
    <sheetView view="pageBreakPreview" zoomScaleSheetLayoutView="100" zoomScalePageLayoutView="0" workbookViewId="0" topLeftCell="A61">
      <selection activeCell="F15" sqref="F15"/>
    </sheetView>
  </sheetViews>
  <sheetFormatPr defaultColWidth="9.140625" defaultRowHeight="15"/>
  <cols>
    <col min="1" max="1" width="7.28125" style="1" bestFit="1" customWidth="1"/>
    <col min="2" max="2" width="44.57421875" style="1" customWidth="1"/>
    <col min="3" max="3" width="12.421875" style="3" customWidth="1"/>
    <col min="4" max="4" width="73.140625" style="2" customWidth="1"/>
    <col min="6" max="6" width="13.140625" style="0" customWidth="1"/>
  </cols>
  <sheetData>
    <row r="1" spans="1:4" ht="58.5" customHeight="1">
      <c r="A1" s="45" t="s">
        <v>9</v>
      </c>
      <c r="B1" s="45"/>
      <c r="C1" s="45"/>
      <c r="D1" s="45"/>
    </row>
    <row r="2" spans="1:4" ht="21.75" customHeight="1" thickBot="1">
      <c r="A2" s="11"/>
      <c r="B2" s="12" t="s">
        <v>39</v>
      </c>
      <c r="C2" s="13"/>
      <c r="D2" s="14"/>
    </row>
    <row r="3" spans="1:4" ht="16.5" thickBot="1">
      <c r="A3" s="15" t="s">
        <v>0</v>
      </c>
      <c r="B3" s="16" t="s">
        <v>1</v>
      </c>
      <c r="C3" s="16" t="s">
        <v>2</v>
      </c>
      <c r="D3" s="17" t="s">
        <v>3</v>
      </c>
    </row>
    <row r="4" spans="1:4" ht="31.5" customHeight="1" thickBot="1">
      <c r="A4" s="18" t="s">
        <v>30</v>
      </c>
      <c r="B4" s="19" t="s">
        <v>4</v>
      </c>
      <c r="C4" s="20" t="s">
        <v>10</v>
      </c>
      <c r="D4" s="21" t="s">
        <v>36</v>
      </c>
    </row>
    <row r="5" spans="1:4" ht="34.5" customHeight="1" thickBot="1">
      <c r="A5" s="18" t="s">
        <v>31</v>
      </c>
      <c r="B5" s="22" t="s">
        <v>6</v>
      </c>
      <c r="C5" s="20" t="s">
        <v>5</v>
      </c>
      <c r="D5" s="51" t="s">
        <v>12</v>
      </c>
    </row>
    <row r="6" spans="1:4" ht="27" customHeight="1" thickBot="1">
      <c r="A6" s="18" t="s">
        <v>32</v>
      </c>
      <c r="B6" s="22" t="s">
        <v>11</v>
      </c>
      <c r="C6" s="20" t="s">
        <v>7</v>
      </c>
      <c r="D6" s="48">
        <f>6.21*14080.3*12</f>
        <v>1049263.956</v>
      </c>
    </row>
    <row r="7" spans="1:4" ht="23.25" customHeight="1" thickBot="1">
      <c r="A7" s="15" t="s">
        <v>0</v>
      </c>
      <c r="B7" s="16" t="s">
        <v>1</v>
      </c>
      <c r="C7" s="16" t="s">
        <v>2</v>
      </c>
      <c r="D7" s="49" t="s">
        <v>3</v>
      </c>
    </row>
    <row r="8" spans="1:4" ht="27" customHeight="1" thickBot="1">
      <c r="A8" s="18" t="s">
        <v>30</v>
      </c>
      <c r="B8" s="19" t="s">
        <v>4</v>
      </c>
      <c r="C8" s="20" t="s">
        <v>10</v>
      </c>
      <c r="D8" s="50" t="s">
        <v>36</v>
      </c>
    </row>
    <row r="9" spans="1:4" ht="25.5" customHeight="1" thickBot="1">
      <c r="A9" s="18" t="s">
        <v>31</v>
      </c>
      <c r="B9" s="22" t="s">
        <v>6</v>
      </c>
      <c r="C9" s="20" t="s">
        <v>5</v>
      </c>
      <c r="D9" s="51" t="s">
        <v>13</v>
      </c>
    </row>
    <row r="10" spans="1:4" ht="26.25" customHeight="1" thickBot="1">
      <c r="A10" s="18" t="s">
        <v>32</v>
      </c>
      <c r="B10" s="22" t="s">
        <v>11</v>
      </c>
      <c r="C10" s="20" t="s">
        <v>7</v>
      </c>
      <c r="D10" s="48">
        <f>1.27*14080.3*12</f>
        <v>214583.772</v>
      </c>
    </row>
    <row r="11" spans="1:4" ht="16.5" thickBot="1">
      <c r="A11" s="15" t="s">
        <v>0</v>
      </c>
      <c r="B11" s="16" t="s">
        <v>1</v>
      </c>
      <c r="C11" s="16" t="s">
        <v>2</v>
      </c>
      <c r="D11" s="49" t="s">
        <v>3</v>
      </c>
    </row>
    <row r="12" spans="1:4" ht="33.75" customHeight="1" thickBot="1">
      <c r="A12" s="18" t="s">
        <v>30</v>
      </c>
      <c r="B12" s="19" t="s">
        <v>4</v>
      </c>
      <c r="C12" s="20" t="s">
        <v>10</v>
      </c>
      <c r="D12" s="50" t="s">
        <v>36</v>
      </c>
    </row>
    <row r="13" spans="1:4" ht="27.75" customHeight="1" thickBot="1">
      <c r="A13" s="18" t="s">
        <v>31</v>
      </c>
      <c r="B13" s="22" t="s">
        <v>6</v>
      </c>
      <c r="C13" s="20" t="s">
        <v>5</v>
      </c>
      <c r="D13" s="51" t="s">
        <v>14</v>
      </c>
    </row>
    <row r="14" spans="1:4" ht="24" customHeight="1" thickBot="1">
      <c r="A14" s="18" t="s">
        <v>32</v>
      </c>
      <c r="B14" s="22" t="s">
        <v>11</v>
      </c>
      <c r="C14" s="20" t="s">
        <v>7</v>
      </c>
      <c r="D14" s="48">
        <f>3.07*14080.3*12</f>
        <v>518718.2519999999</v>
      </c>
    </row>
    <row r="15" spans="1:4" ht="16.5" thickBot="1">
      <c r="A15" s="15" t="s">
        <v>0</v>
      </c>
      <c r="B15" s="16" t="s">
        <v>1</v>
      </c>
      <c r="C15" s="16" t="s">
        <v>2</v>
      </c>
      <c r="D15" s="49" t="s">
        <v>3</v>
      </c>
    </row>
    <row r="16" spans="1:4" ht="26.25" customHeight="1" thickBot="1">
      <c r="A16" s="18" t="s">
        <v>30</v>
      </c>
      <c r="B16" s="19" t="s">
        <v>4</v>
      </c>
      <c r="C16" s="20" t="s">
        <v>10</v>
      </c>
      <c r="D16" s="50" t="s">
        <v>36</v>
      </c>
    </row>
    <row r="17" spans="1:4" ht="32.25" thickBot="1">
      <c r="A17" s="18" t="s">
        <v>31</v>
      </c>
      <c r="B17" s="22" t="s">
        <v>6</v>
      </c>
      <c r="C17" s="20" t="s">
        <v>5</v>
      </c>
      <c r="D17" s="51" t="s">
        <v>15</v>
      </c>
    </row>
    <row r="18" spans="1:4" ht="30.75" customHeight="1" thickBot="1">
      <c r="A18" s="18" t="s">
        <v>32</v>
      </c>
      <c r="B18" s="22" t="s">
        <v>11</v>
      </c>
      <c r="C18" s="20" t="s">
        <v>7</v>
      </c>
      <c r="D18" s="48">
        <f>1.48*14080.3*12</f>
        <v>250066.12799999997</v>
      </c>
    </row>
    <row r="19" spans="1:4" ht="16.5" thickBot="1">
      <c r="A19" s="15" t="s">
        <v>0</v>
      </c>
      <c r="B19" s="16" t="s">
        <v>1</v>
      </c>
      <c r="C19" s="16" t="s">
        <v>2</v>
      </c>
      <c r="D19" s="49" t="s">
        <v>3</v>
      </c>
    </row>
    <row r="20" spans="1:4" ht="27.75" customHeight="1" thickBot="1">
      <c r="A20" s="18" t="s">
        <v>30</v>
      </c>
      <c r="B20" s="19" t="s">
        <v>4</v>
      </c>
      <c r="C20" s="20" t="s">
        <v>10</v>
      </c>
      <c r="D20" s="50" t="s">
        <v>36</v>
      </c>
    </row>
    <row r="21" spans="1:4" ht="49.5" customHeight="1" thickBot="1">
      <c r="A21" s="18" t="s">
        <v>31</v>
      </c>
      <c r="B21" s="22" t="s">
        <v>6</v>
      </c>
      <c r="C21" s="20" t="s">
        <v>5</v>
      </c>
      <c r="D21" s="51" t="s">
        <v>16</v>
      </c>
    </row>
    <row r="22" spans="1:4" ht="32.25" thickBot="1">
      <c r="A22" s="18" t="s">
        <v>32</v>
      </c>
      <c r="B22" s="22" t="s">
        <v>11</v>
      </c>
      <c r="C22" s="20" t="s">
        <v>7</v>
      </c>
      <c r="D22" s="48">
        <f>0.44*14080.3*12</f>
        <v>74343.984</v>
      </c>
    </row>
    <row r="23" spans="1:4" ht="16.5" thickBot="1">
      <c r="A23" s="15" t="s">
        <v>0</v>
      </c>
      <c r="B23" s="16" t="s">
        <v>1</v>
      </c>
      <c r="C23" s="16" t="s">
        <v>2</v>
      </c>
      <c r="D23" s="49" t="s">
        <v>3</v>
      </c>
    </row>
    <row r="24" spans="1:4" ht="16.5" customHeight="1" thickBot="1">
      <c r="A24" s="18" t="s">
        <v>30</v>
      </c>
      <c r="B24" s="19" t="s">
        <v>4</v>
      </c>
      <c r="C24" s="20" t="s">
        <v>10</v>
      </c>
      <c r="D24" s="50" t="s">
        <v>36</v>
      </c>
    </row>
    <row r="25" spans="1:4" ht="19.5" customHeight="1" thickBot="1">
      <c r="A25" s="18" t="s">
        <v>31</v>
      </c>
      <c r="B25" s="22" t="s">
        <v>6</v>
      </c>
      <c r="C25" s="20" t="s">
        <v>5</v>
      </c>
      <c r="D25" s="51" t="s">
        <v>19</v>
      </c>
    </row>
    <row r="26" spans="1:4" ht="32.25" thickBot="1">
      <c r="A26" s="18" t="s">
        <v>32</v>
      </c>
      <c r="B26" s="22" t="s">
        <v>11</v>
      </c>
      <c r="C26" s="20" t="s">
        <v>7</v>
      </c>
      <c r="D26" s="48">
        <f>7.94*14080.3*12</f>
        <v>1341570.984</v>
      </c>
    </row>
    <row r="27" spans="1:4" ht="16.5" thickBot="1">
      <c r="A27" s="15" t="s">
        <v>0</v>
      </c>
      <c r="B27" s="16" t="s">
        <v>1</v>
      </c>
      <c r="C27" s="16" t="s">
        <v>2</v>
      </c>
      <c r="D27" s="49" t="s">
        <v>3</v>
      </c>
    </row>
    <row r="28" spans="1:4" ht="15" customHeight="1" thickBot="1">
      <c r="A28" s="18" t="s">
        <v>30</v>
      </c>
      <c r="B28" s="19" t="s">
        <v>4</v>
      </c>
      <c r="C28" s="20" t="s">
        <v>10</v>
      </c>
      <c r="D28" s="50" t="s">
        <v>36</v>
      </c>
    </row>
    <row r="29" spans="1:4" ht="48.75" customHeight="1" thickBot="1">
      <c r="A29" s="18" t="s">
        <v>31</v>
      </c>
      <c r="B29" s="22" t="s">
        <v>6</v>
      </c>
      <c r="C29" s="20" t="s">
        <v>5</v>
      </c>
      <c r="D29" s="51" t="s">
        <v>23</v>
      </c>
    </row>
    <row r="30" spans="1:4" ht="32.25" thickBot="1">
      <c r="A30" s="18" t="s">
        <v>32</v>
      </c>
      <c r="B30" s="22" t="s">
        <v>11</v>
      </c>
      <c r="C30" s="20" t="s">
        <v>7</v>
      </c>
      <c r="D30" s="48">
        <f>6.73*14080.3*12</f>
        <v>1137125.028</v>
      </c>
    </row>
    <row r="31" spans="1:4" ht="16.5" thickBot="1">
      <c r="A31" s="15" t="s">
        <v>0</v>
      </c>
      <c r="B31" s="16" t="s">
        <v>1</v>
      </c>
      <c r="C31" s="16" t="s">
        <v>2</v>
      </c>
      <c r="D31" s="49" t="s">
        <v>3</v>
      </c>
    </row>
    <row r="32" spans="1:4" ht="24.75" customHeight="1" thickBot="1">
      <c r="A32" s="18" t="s">
        <v>30</v>
      </c>
      <c r="B32" s="19" t="s">
        <v>4</v>
      </c>
      <c r="C32" s="20" t="s">
        <v>10</v>
      </c>
      <c r="D32" s="50" t="s">
        <v>36</v>
      </c>
    </row>
    <row r="33" spans="1:4" ht="34.5" customHeight="1" thickBot="1">
      <c r="A33" s="18" t="s">
        <v>31</v>
      </c>
      <c r="B33" s="22" t="s">
        <v>6</v>
      </c>
      <c r="C33" s="20" t="s">
        <v>5</v>
      </c>
      <c r="D33" s="51" t="s">
        <v>20</v>
      </c>
    </row>
    <row r="34" spans="1:4" ht="32.25" thickBot="1">
      <c r="A34" s="18" t="s">
        <v>32</v>
      </c>
      <c r="B34" s="22" t="s">
        <v>11</v>
      </c>
      <c r="C34" s="20" t="s">
        <v>7</v>
      </c>
      <c r="D34" s="48">
        <f>0.17*14080.3*12</f>
        <v>28723.811999999998</v>
      </c>
    </row>
    <row r="35" spans="1:6" ht="16.5" thickBot="1">
      <c r="A35" s="15" t="s">
        <v>0</v>
      </c>
      <c r="B35" s="16" t="s">
        <v>1</v>
      </c>
      <c r="C35" s="16" t="s">
        <v>2</v>
      </c>
      <c r="D35" s="49" t="s">
        <v>3</v>
      </c>
      <c r="F35" s="4"/>
    </row>
    <row r="36" spans="1:4" ht="27.75" customHeight="1" thickBot="1">
      <c r="A36" s="18" t="s">
        <v>30</v>
      </c>
      <c r="B36" s="19" t="s">
        <v>4</v>
      </c>
      <c r="C36" s="20" t="s">
        <v>10</v>
      </c>
      <c r="D36" s="50" t="s">
        <v>36</v>
      </c>
    </row>
    <row r="37" spans="1:4" ht="31.5" customHeight="1" thickBot="1">
      <c r="A37" s="18" t="s">
        <v>31</v>
      </c>
      <c r="B37" s="22" t="s">
        <v>6</v>
      </c>
      <c r="C37" s="20" t="s">
        <v>5</v>
      </c>
      <c r="D37" s="51" t="s">
        <v>21</v>
      </c>
    </row>
    <row r="38" spans="1:4" ht="32.25" thickBot="1">
      <c r="A38" s="18" t="s">
        <v>32</v>
      </c>
      <c r="B38" s="22" t="s">
        <v>11</v>
      </c>
      <c r="C38" s="20" t="s">
        <v>7</v>
      </c>
      <c r="D38" s="48">
        <f>6.42*14080.3*12</f>
        <v>1084746.312</v>
      </c>
    </row>
    <row r="39" spans="1:4" ht="16.5" thickBot="1">
      <c r="A39" s="15" t="s">
        <v>0</v>
      </c>
      <c r="B39" s="16" t="s">
        <v>1</v>
      </c>
      <c r="C39" s="16" t="s">
        <v>2</v>
      </c>
      <c r="D39" s="49" t="s">
        <v>3</v>
      </c>
    </row>
    <row r="40" spans="1:4" ht="31.5" customHeight="1" thickBot="1">
      <c r="A40" s="18" t="s">
        <v>30</v>
      </c>
      <c r="B40" s="19" t="s">
        <v>4</v>
      </c>
      <c r="C40" s="20" t="s">
        <v>10</v>
      </c>
      <c r="D40" s="50" t="s">
        <v>36</v>
      </c>
    </row>
    <row r="41" spans="1:4" ht="29.25" customHeight="1" thickBot="1">
      <c r="A41" s="18" t="s">
        <v>31</v>
      </c>
      <c r="B41" s="22" t="s">
        <v>6</v>
      </c>
      <c r="C41" s="20" t="s">
        <v>5</v>
      </c>
      <c r="D41" s="51" t="s">
        <v>18</v>
      </c>
    </row>
    <row r="42" spans="1:4" ht="28.5" customHeight="1" thickBot="1">
      <c r="A42" s="18" t="s">
        <v>32</v>
      </c>
      <c r="B42" s="22" t="s">
        <v>11</v>
      </c>
      <c r="C42" s="20" t="s">
        <v>7</v>
      </c>
      <c r="D42" s="48">
        <f>1.97*14080.3*12</f>
        <v>332858.292</v>
      </c>
    </row>
    <row r="43" spans="1:4" ht="16.5" thickBot="1">
      <c r="A43" s="15" t="s">
        <v>0</v>
      </c>
      <c r="B43" s="16" t="s">
        <v>1</v>
      </c>
      <c r="C43" s="16" t="s">
        <v>2</v>
      </c>
      <c r="D43" s="49" t="s">
        <v>3</v>
      </c>
    </row>
    <row r="44" spans="1:4" ht="30" customHeight="1" thickBot="1">
      <c r="A44" s="18" t="s">
        <v>30</v>
      </c>
      <c r="B44" s="19" t="s">
        <v>4</v>
      </c>
      <c r="C44" s="20" t="s">
        <v>10</v>
      </c>
      <c r="D44" s="50" t="s">
        <v>36</v>
      </c>
    </row>
    <row r="45" spans="1:4" ht="30" customHeight="1" thickBot="1">
      <c r="A45" s="18" t="s">
        <v>31</v>
      </c>
      <c r="B45" s="22" t="s">
        <v>6</v>
      </c>
      <c r="C45" s="20" t="s">
        <v>5</v>
      </c>
      <c r="D45" s="51" t="s">
        <v>8</v>
      </c>
    </row>
    <row r="46" spans="1:4" ht="22.5" customHeight="1" thickBot="1">
      <c r="A46" s="18" t="s">
        <v>32</v>
      </c>
      <c r="B46" s="22" t="s">
        <v>11</v>
      </c>
      <c r="C46" s="20" t="s">
        <v>7</v>
      </c>
      <c r="D46" s="48">
        <v>15458.88</v>
      </c>
    </row>
    <row r="47" spans="1:4" ht="16.5" thickBot="1">
      <c r="A47" s="15" t="s">
        <v>0</v>
      </c>
      <c r="B47" s="16" t="s">
        <v>1</v>
      </c>
      <c r="C47" s="16" t="s">
        <v>2</v>
      </c>
      <c r="D47" s="49" t="s">
        <v>3</v>
      </c>
    </row>
    <row r="48" spans="1:4" ht="32.25" thickBot="1">
      <c r="A48" s="18" t="s">
        <v>30</v>
      </c>
      <c r="B48" s="19" t="s">
        <v>4</v>
      </c>
      <c r="C48" s="20" t="s">
        <v>10</v>
      </c>
      <c r="D48" s="50" t="s">
        <v>36</v>
      </c>
    </row>
    <row r="49" spans="1:4" ht="24.75" customHeight="1" thickBot="1">
      <c r="A49" s="18" t="s">
        <v>31</v>
      </c>
      <c r="B49" s="22" t="s">
        <v>6</v>
      </c>
      <c r="C49" s="20" t="s">
        <v>5</v>
      </c>
      <c r="D49" s="51" t="s">
        <v>17</v>
      </c>
    </row>
    <row r="50" spans="1:4" ht="29.25" customHeight="1" thickBot="1">
      <c r="A50" s="18" t="s">
        <v>32</v>
      </c>
      <c r="B50" s="22" t="s">
        <v>11</v>
      </c>
      <c r="C50" s="20" t="s">
        <v>7</v>
      </c>
      <c r="D50" s="48">
        <f>3.35*14080.3*12</f>
        <v>566028.0599999999</v>
      </c>
    </row>
    <row r="51" spans="1:4" ht="16.5" thickBot="1">
      <c r="A51" s="15" t="s">
        <v>0</v>
      </c>
      <c r="B51" s="16" t="s">
        <v>1</v>
      </c>
      <c r="C51" s="16" t="s">
        <v>2</v>
      </c>
      <c r="D51" s="49" t="s">
        <v>3</v>
      </c>
    </row>
    <row r="52" spans="1:4" ht="30.75" customHeight="1" thickBot="1">
      <c r="A52" s="18" t="s">
        <v>30</v>
      </c>
      <c r="B52" s="19" t="s">
        <v>4</v>
      </c>
      <c r="C52" s="20" t="s">
        <v>10</v>
      </c>
      <c r="D52" s="50" t="s">
        <v>36</v>
      </c>
    </row>
    <row r="53" spans="1:4" ht="39.75" customHeight="1" thickBot="1">
      <c r="A53" s="18" t="s">
        <v>31</v>
      </c>
      <c r="B53" s="22" t="s">
        <v>6</v>
      </c>
      <c r="C53" s="20" t="s">
        <v>5</v>
      </c>
      <c r="D53" s="51" t="s">
        <v>26</v>
      </c>
    </row>
    <row r="54" spans="1:4" ht="32.25" customHeight="1" thickBot="1">
      <c r="A54" s="18" t="s">
        <v>32</v>
      </c>
      <c r="B54" s="22" t="s">
        <v>11</v>
      </c>
      <c r="C54" s="20" t="s">
        <v>7</v>
      </c>
      <c r="D54" s="48">
        <f>0.19*14080.3*12</f>
        <v>32103.084000000003</v>
      </c>
    </row>
    <row r="55" spans="1:4" ht="16.5" thickBot="1">
      <c r="A55" s="15" t="s">
        <v>0</v>
      </c>
      <c r="B55" s="16" t="s">
        <v>1</v>
      </c>
      <c r="C55" s="16" t="s">
        <v>2</v>
      </c>
      <c r="D55" s="49" t="s">
        <v>3</v>
      </c>
    </row>
    <row r="56" spans="1:4" ht="32.25" thickBot="1">
      <c r="A56" s="18" t="s">
        <v>30</v>
      </c>
      <c r="B56" s="19" t="s">
        <v>4</v>
      </c>
      <c r="C56" s="20" t="s">
        <v>10</v>
      </c>
      <c r="D56" s="50" t="s">
        <v>36</v>
      </c>
    </row>
    <row r="57" spans="1:4" ht="28.5" customHeight="1" thickBot="1">
      <c r="A57" s="18" t="s">
        <v>31</v>
      </c>
      <c r="B57" s="22" t="s">
        <v>6</v>
      </c>
      <c r="C57" s="20" t="s">
        <v>5</v>
      </c>
      <c r="D57" s="51" t="s">
        <v>22</v>
      </c>
    </row>
    <row r="58" spans="1:4" ht="32.25" customHeight="1" thickBot="1">
      <c r="A58" s="18" t="s">
        <v>32</v>
      </c>
      <c r="B58" s="22" t="s">
        <v>11</v>
      </c>
      <c r="C58" s="20" t="s">
        <v>7</v>
      </c>
      <c r="D58" s="48">
        <f>1.26*14080.3*12</f>
        <v>212894.136</v>
      </c>
    </row>
    <row r="59" spans="1:4" ht="16.5" thickBot="1">
      <c r="A59" s="15" t="s">
        <v>0</v>
      </c>
      <c r="B59" s="16" t="s">
        <v>1</v>
      </c>
      <c r="C59" s="16" t="s">
        <v>2</v>
      </c>
      <c r="D59" s="49" t="s">
        <v>3</v>
      </c>
    </row>
    <row r="60" spans="1:4" ht="29.25" customHeight="1" thickBot="1">
      <c r="A60" s="18" t="s">
        <v>30</v>
      </c>
      <c r="B60" s="19" t="s">
        <v>4</v>
      </c>
      <c r="C60" s="20" t="s">
        <v>10</v>
      </c>
      <c r="D60" s="50" t="s">
        <v>36</v>
      </c>
    </row>
    <row r="61" spans="1:4" ht="28.5" customHeight="1" thickBot="1">
      <c r="A61" s="18" t="s">
        <v>31</v>
      </c>
      <c r="B61" s="22" t="s">
        <v>6</v>
      </c>
      <c r="C61" s="20" t="s">
        <v>5</v>
      </c>
      <c r="D61" s="51" t="s">
        <v>24</v>
      </c>
    </row>
    <row r="62" spans="1:4" ht="32.25" thickBot="1">
      <c r="A62" s="18" t="s">
        <v>32</v>
      </c>
      <c r="B62" s="22" t="s">
        <v>11</v>
      </c>
      <c r="C62" s="20" t="s">
        <v>7</v>
      </c>
      <c r="D62" s="48">
        <f>(0.8*14080.3*12)+(0.15*14080.3*12)</f>
        <v>160515.41999999998</v>
      </c>
    </row>
    <row r="63" spans="1:4" ht="15.75">
      <c r="A63" s="29"/>
      <c r="B63" s="29"/>
      <c r="C63" s="30"/>
      <c r="D63" s="32"/>
    </row>
    <row r="64" spans="1:4" ht="15.75">
      <c r="A64" s="29"/>
      <c r="B64" s="29" t="s">
        <v>35</v>
      </c>
      <c r="C64" s="30"/>
      <c r="D64" s="32"/>
    </row>
    <row r="65" spans="1:4" ht="56.25" customHeight="1" hidden="1">
      <c r="A65" s="29"/>
      <c r="B65" s="29"/>
      <c r="C65" s="30"/>
      <c r="D65" s="31">
        <f>D62+D58+D54+D50+D46+D42+D38+D34+D30+D26+D22+D18+D14+D10+D6</f>
        <v>7019000.1</v>
      </c>
    </row>
    <row r="66" ht="15" hidden="1"/>
    <row r="67" spans="3:4" ht="15" hidden="1">
      <c r="C67" s="3" t="s">
        <v>34</v>
      </c>
      <c r="D67" s="41">
        <f>39.41*14080.3/1.18+41.45*14080.3*11/1.18+D46</f>
        <v>5926321.090169492</v>
      </c>
    </row>
    <row r="68" ht="15" hidden="1"/>
    <row r="69" ht="15" hidden="1">
      <c r="D69" s="42">
        <f>D65-D67</f>
        <v>1092679.0098305074</v>
      </c>
    </row>
    <row r="70" ht="15" hidden="1"/>
    <row r="71" ht="15" hidden="1"/>
    <row r="72" ht="15" hidden="1">
      <c r="D72" s="42">
        <f>D65-D46</f>
        <v>7003541.22</v>
      </c>
    </row>
    <row r="73" ht="15" hidden="1"/>
    <row r="74" ht="15" hidden="1"/>
    <row r="79" spans="3:4" ht="15">
      <c r="C79" s="55">
        <f>41.45*14080.3*12</f>
        <v>7003541.220000001</v>
      </c>
      <c r="D79" s="47">
        <f>D6+D10+D14+D18+D22+D26+D30+D34+D38+D42+D50+D54+D58+D62</f>
        <v>7003541.22</v>
      </c>
    </row>
  </sheetData>
  <sheetProtection/>
  <mergeCells count="1">
    <mergeCell ref="A1:D1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0"/>
  <sheetViews>
    <sheetView view="pageBreakPreview" zoomScaleNormal="86" zoomScaleSheetLayoutView="100" zoomScalePageLayoutView="0" workbookViewId="0" topLeftCell="A46">
      <selection activeCell="F46" sqref="F46"/>
    </sheetView>
  </sheetViews>
  <sheetFormatPr defaultColWidth="9.140625" defaultRowHeight="15"/>
  <cols>
    <col min="1" max="1" width="7.28125" style="1" bestFit="1" customWidth="1"/>
    <col min="2" max="2" width="47.140625" style="1" customWidth="1"/>
    <col min="3" max="3" width="24.57421875" style="3" customWidth="1"/>
    <col min="4" max="4" width="70.57421875" style="2" customWidth="1"/>
    <col min="6" max="6" width="13.140625" style="0" customWidth="1"/>
  </cols>
  <sheetData>
    <row r="1" spans="1:4" ht="46.5" customHeight="1">
      <c r="A1" s="45" t="s">
        <v>9</v>
      </c>
      <c r="B1" s="45"/>
      <c r="C1" s="45"/>
      <c r="D1" s="45"/>
    </row>
    <row r="2" spans="1:4" ht="26.25" customHeight="1" thickBot="1">
      <c r="A2" s="11"/>
      <c r="B2" s="12" t="s">
        <v>40</v>
      </c>
      <c r="C2" s="13"/>
      <c r="D2" s="14"/>
    </row>
    <row r="3" spans="1:4" ht="16.5" thickBot="1">
      <c r="A3" s="15" t="s">
        <v>0</v>
      </c>
      <c r="B3" s="16" t="s">
        <v>1</v>
      </c>
      <c r="C3" s="16" t="s">
        <v>2</v>
      </c>
      <c r="D3" s="17" t="s">
        <v>3</v>
      </c>
    </row>
    <row r="4" spans="1:4" ht="30" customHeight="1" thickBot="1">
      <c r="A4" s="18" t="s">
        <v>30</v>
      </c>
      <c r="B4" s="19" t="s">
        <v>4</v>
      </c>
      <c r="C4" s="20" t="s">
        <v>10</v>
      </c>
      <c r="D4" s="21" t="s">
        <v>36</v>
      </c>
    </row>
    <row r="5" spans="1:4" ht="32.25" thickBot="1">
      <c r="A5" s="18" t="s">
        <v>31</v>
      </c>
      <c r="B5" s="22" t="s">
        <v>6</v>
      </c>
      <c r="C5" s="20" t="s">
        <v>5</v>
      </c>
      <c r="D5" s="23" t="s">
        <v>12</v>
      </c>
    </row>
    <row r="6" spans="1:4" ht="32.25" thickBot="1">
      <c r="A6" s="18" t="s">
        <v>32</v>
      </c>
      <c r="B6" s="22" t="s">
        <v>11</v>
      </c>
      <c r="C6" s="20" t="s">
        <v>7</v>
      </c>
      <c r="D6" s="38">
        <f>5.4*9830.2*12</f>
        <v>636996.9600000001</v>
      </c>
    </row>
    <row r="7" spans="1:4" ht="16.5" thickBot="1">
      <c r="A7" s="15" t="s">
        <v>0</v>
      </c>
      <c r="B7" s="16" t="s">
        <v>1</v>
      </c>
      <c r="C7" s="16" t="s">
        <v>2</v>
      </c>
      <c r="D7" s="17" t="s">
        <v>3</v>
      </c>
    </row>
    <row r="8" spans="1:4" ht="19.5" customHeight="1" thickBot="1">
      <c r="A8" s="18" t="s">
        <v>30</v>
      </c>
      <c r="B8" s="19" t="s">
        <v>4</v>
      </c>
      <c r="C8" s="20" t="s">
        <v>10</v>
      </c>
      <c r="D8" s="21" t="s">
        <v>36</v>
      </c>
    </row>
    <row r="9" spans="1:4" ht="32.25" thickBot="1">
      <c r="A9" s="18" t="s">
        <v>31</v>
      </c>
      <c r="B9" s="22" t="s">
        <v>6</v>
      </c>
      <c r="C9" s="20" t="s">
        <v>5</v>
      </c>
      <c r="D9" s="23" t="s">
        <v>14</v>
      </c>
    </row>
    <row r="10" spans="1:4" ht="32.25" thickBot="1">
      <c r="A10" s="18" t="s">
        <v>32</v>
      </c>
      <c r="B10" s="22" t="s">
        <v>11</v>
      </c>
      <c r="C10" s="20" t="s">
        <v>7</v>
      </c>
      <c r="D10" s="38">
        <f>4.38*9830.2*12</f>
        <v>516675.31200000003</v>
      </c>
    </row>
    <row r="11" spans="1:4" ht="16.5" thickBot="1">
      <c r="A11" s="15" t="s">
        <v>0</v>
      </c>
      <c r="B11" s="16" t="s">
        <v>1</v>
      </c>
      <c r="C11" s="16" t="s">
        <v>2</v>
      </c>
      <c r="D11" s="17" t="s">
        <v>3</v>
      </c>
    </row>
    <row r="12" spans="1:4" ht="20.25" customHeight="1" thickBot="1">
      <c r="A12" s="18" t="s">
        <v>30</v>
      </c>
      <c r="B12" s="19" t="s">
        <v>4</v>
      </c>
      <c r="C12" s="20" t="s">
        <v>10</v>
      </c>
      <c r="D12" s="21" t="s">
        <v>36</v>
      </c>
    </row>
    <row r="13" spans="1:4" ht="32.25" thickBot="1">
      <c r="A13" s="18" t="s">
        <v>31</v>
      </c>
      <c r="B13" s="22" t="s">
        <v>6</v>
      </c>
      <c r="C13" s="20" t="s">
        <v>5</v>
      </c>
      <c r="D13" s="23" t="s">
        <v>15</v>
      </c>
    </row>
    <row r="14" spans="1:4" ht="32.25" thickBot="1">
      <c r="A14" s="18" t="s">
        <v>32</v>
      </c>
      <c r="B14" s="22" t="s">
        <v>11</v>
      </c>
      <c r="C14" s="20" t="s">
        <v>7</v>
      </c>
      <c r="D14" s="38">
        <f>2.43*9830.2*12</f>
        <v>286648.63200000004</v>
      </c>
    </row>
    <row r="15" spans="1:4" ht="16.5" thickBot="1">
      <c r="A15" s="15" t="s">
        <v>0</v>
      </c>
      <c r="B15" s="16" t="s">
        <v>1</v>
      </c>
      <c r="C15" s="16" t="s">
        <v>2</v>
      </c>
      <c r="D15" s="17" t="s">
        <v>3</v>
      </c>
    </row>
    <row r="16" spans="1:4" ht="21.75" customHeight="1" thickBot="1">
      <c r="A16" s="18" t="s">
        <v>30</v>
      </c>
      <c r="B16" s="19" t="s">
        <v>4</v>
      </c>
      <c r="C16" s="20" t="s">
        <v>10</v>
      </c>
      <c r="D16" s="21" t="s">
        <v>36</v>
      </c>
    </row>
    <row r="17" spans="1:4" ht="48.75" customHeight="1" thickBot="1">
      <c r="A17" s="18" t="s">
        <v>31</v>
      </c>
      <c r="B17" s="22" t="s">
        <v>6</v>
      </c>
      <c r="C17" s="20" t="s">
        <v>5</v>
      </c>
      <c r="D17" s="23" t="s">
        <v>16</v>
      </c>
    </row>
    <row r="18" spans="1:4" ht="32.25" thickBot="1">
      <c r="A18" s="18" t="s">
        <v>32</v>
      </c>
      <c r="B18" s="22" t="s">
        <v>11</v>
      </c>
      <c r="C18" s="20" t="s">
        <v>7</v>
      </c>
      <c r="D18" s="38">
        <f>0.44*9830.2*12</f>
        <v>51903.456000000006</v>
      </c>
    </row>
    <row r="19" spans="1:4" ht="16.5" thickBot="1">
      <c r="A19" s="15" t="s">
        <v>0</v>
      </c>
      <c r="B19" s="16" t="s">
        <v>1</v>
      </c>
      <c r="C19" s="16" t="s">
        <v>2</v>
      </c>
      <c r="D19" s="17" t="s">
        <v>3</v>
      </c>
    </row>
    <row r="20" spans="1:4" ht="25.5" customHeight="1" thickBot="1">
      <c r="A20" s="18" t="s">
        <v>30</v>
      </c>
      <c r="B20" s="19" t="s">
        <v>4</v>
      </c>
      <c r="C20" s="20" t="s">
        <v>10</v>
      </c>
      <c r="D20" s="21" t="s">
        <v>36</v>
      </c>
    </row>
    <row r="21" spans="1:4" ht="32.25" thickBot="1">
      <c r="A21" s="18" t="s">
        <v>31</v>
      </c>
      <c r="B21" s="22" t="s">
        <v>6</v>
      </c>
      <c r="C21" s="20" t="s">
        <v>5</v>
      </c>
      <c r="D21" s="23" t="s">
        <v>19</v>
      </c>
    </row>
    <row r="22" spans="1:4" ht="32.25" thickBot="1">
      <c r="A22" s="18" t="s">
        <v>32</v>
      </c>
      <c r="B22" s="22" t="s">
        <v>11</v>
      </c>
      <c r="C22" s="20" t="s">
        <v>7</v>
      </c>
      <c r="D22" s="38">
        <f>7.98*9830.2*12</f>
        <v>941339.9520000002</v>
      </c>
    </row>
    <row r="23" spans="1:4" ht="16.5" thickBot="1">
      <c r="A23" s="15" t="s">
        <v>0</v>
      </c>
      <c r="B23" s="16" t="s">
        <v>1</v>
      </c>
      <c r="C23" s="16" t="s">
        <v>2</v>
      </c>
      <c r="D23" s="17" t="s">
        <v>3</v>
      </c>
    </row>
    <row r="24" spans="1:4" ht="21.75" customHeight="1" thickBot="1">
      <c r="A24" s="18" t="s">
        <v>30</v>
      </c>
      <c r="B24" s="19" t="s">
        <v>4</v>
      </c>
      <c r="C24" s="20" t="s">
        <v>10</v>
      </c>
      <c r="D24" s="21" t="s">
        <v>36</v>
      </c>
    </row>
    <row r="25" spans="1:4" ht="49.5" customHeight="1" thickBot="1">
      <c r="A25" s="18" t="s">
        <v>31</v>
      </c>
      <c r="B25" s="22" t="s">
        <v>6</v>
      </c>
      <c r="C25" s="20" t="s">
        <v>5</v>
      </c>
      <c r="D25" s="43" t="s">
        <v>23</v>
      </c>
    </row>
    <row r="26" spans="1:4" ht="32.25" thickBot="1">
      <c r="A26" s="18" t="s">
        <v>32</v>
      </c>
      <c r="B26" s="22" t="s">
        <v>11</v>
      </c>
      <c r="C26" s="20" t="s">
        <v>7</v>
      </c>
      <c r="D26" s="44">
        <f>11.25*9830.2*12</f>
        <v>1327077.0000000002</v>
      </c>
    </row>
    <row r="27" spans="1:4" ht="16.5" thickBot="1">
      <c r="A27" s="15" t="s">
        <v>0</v>
      </c>
      <c r="B27" s="16" t="s">
        <v>1</v>
      </c>
      <c r="C27" s="16" t="s">
        <v>2</v>
      </c>
      <c r="D27" s="17" t="s">
        <v>3</v>
      </c>
    </row>
    <row r="28" spans="1:4" ht="32.25" thickBot="1">
      <c r="A28" s="18" t="s">
        <v>30</v>
      </c>
      <c r="B28" s="19" t="s">
        <v>4</v>
      </c>
      <c r="C28" s="20" t="s">
        <v>10</v>
      </c>
      <c r="D28" s="21" t="s">
        <v>36</v>
      </c>
    </row>
    <row r="29" spans="1:4" ht="32.25" thickBot="1">
      <c r="A29" s="18" t="s">
        <v>31</v>
      </c>
      <c r="B29" s="22" t="s">
        <v>6</v>
      </c>
      <c r="C29" s="20" t="s">
        <v>5</v>
      </c>
      <c r="D29" s="23" t="s">
        <v>43</v>
      </c>
    </row>
    <row r="30" spans="1:4" ht="32.25" thickBot="1">
      <c r="A30" s="18" t="s">
        <v>32</v>
      </c>
      <c r="B30" s="22" t="s">
        <v>11</v>
      </c>
      <c r="C30" s="20" t="s">
        <v>7</v>
      </c>
      <c r="D30" s="38">
        <f>0.17*9830.2*12</f>
        <v>20053.608000000004</v>
      </c>
    </row>
    <row r="31" spans="1:4" ht="16.5" thickBot="1">
      <c r="A31" s="15" t="s">
        <v>0</v>
      </c>
      <c r="B31" s="16" t="s">
        <v>1</v>
      </c>
      <c r="C31" s="16" t="s">
        <v>2</v>
      </c>
      <c r="D31" s="17" t="s">
        <v>3</v>
      </c>
    </row>
    <row r="32" spans="1:4" ht="18" customHeight="1" thickBot="1">
      <c r="A32" s="18" t="s">
        <v>30</v>
      </c>
      <c r="B32" s="19" t="s">
        <v>4</v>
      </c>
      <c r="C32" s="20" t="s">
        <v>10</v>
      </c>
      <c r="D32" s="21" t="s">
        <v>36</v>
      </c>
    </row>
    <row r="33" spans="1:4" ht="20.25" customHeight="1" thickBot="1">
      <c r="A33" s="18" t="s">
        <v>31</v>
      </c>
      <c r="B33" s="22" t="s">
        <v>6</v>
      </c>
      <c r="C33" s="20" t="s">
        <v>5</v>
      </c>
      <c r="D33" s="23" t="s">
        <v>18</v>
      </c>
    </row>
    <row r="34" spans="1:4" ht="32.25" thickBot="1">
      <c r="A34" s="18" t="s">
        <v>32</v>
      </c>
      <c r="B34" s="22" t="s">
        <v>11</v>
      </c>
      <c r="C34" s="20" t="s">
        <v>7</v>
      </c>
      <c r="D34" s="38">
        <f>1.97*9830.2*12</f>
        <v>232385.928</v>
      </c>
    </row>
    <row r="35" spans="1:4" ht="16.5" thickBot="1">
      <c r="A35" s="15" t="s">
        <v>0</v>
      </c>
      <c r="B35" s="16" t="s">
        <v>1</v>
      </c>
      <c r="C35" s="16" t="s">
        <v>2</v>
      </c>
      <c r="D35" s="17" t="s">
        <v>3</v>
      </c>
    </row>
    <row r="36" spans="1:4" ht="23.25" customHeight="1" thickBot="1">
      <c r="A36" s="18" t="s">
        <v>30</v>
      </c>
      <c r="B36" s="19" t="s">
        <v>4</v>
      </c>
      <c r="C36" s="20" t="s">
        <v>10</v>
      </c>
      <c r="D36" s="21" t="s">
        <v>36</v>
      </c>
    </row>
    <row r="37" spans="1:4" ht="32.25" thickBot="1">
      <c r="A37" s="18" t="s">
        <v>31</v>
      </c>
      <c r="B37" s="22" t="s">
        <v>6</v>
      </c>
      <c r="C37" s="20" t="s">
        <v>5</v>
      </c>
      <c r="D37" s="43" t="s">
        <v>8</v>
      </c>
    </row>
    <row r="38" spans="1:4" ht="32.25" thickBot="1">
      <c r="A38" s="18" t="s">
        <v>32</v>
      </c>
      <c r="B38" s="22" t="s">
        <v>11</v>
      </c>
      <c r="C38" s="20" t="s">
        <v>7</v>
      </c>
      <c r="D38" s="44"/>
    </row>
    <row r="39" spans="1:4" ht="16.5" thickBot="1">
      <c r="A39" s="15" t="s">
        <v>0</v>
      </c>
      <c r="B39" s="16" t="s">
        <v>1</v>
      </c>
      <c r="C39" s="16" t="s">
        <v>2</v>
      </c>
      <c r="D39" s="17" t="s">
        <v>3</v>
      </c>
    </row>
    <row r="40" spans="1:4" ht="18" customHeight="1" thickBot="1">
      <c r="A40" s="18" t="s">
        <v>30</v>
      </c>
      <c r="B40" s="19" t="s">
        <v>4</v>
      </c>
      <c r="C40" s="20" t="s">
        <v>10</v>
      </c>
      <c r="D40" s="21" t="s">
        <v>36</v>
      </c>
    </row>
    <row r="41" spans="1:4" ht="17.25" customHeight="1" thickBot="1">
      <c r="A41" s="18" t="s">
        <v>31</v>
      </c>
      <c r="B41" s="22" t="s">
        <v>6</v>
      </c>
      <c r="C41" s="20" t="s">
        <v>5</v>
      </c>
      <c r="D41" s="23" t="s">
        <v>17</v>
      </c>
    </row>
    <row r="42" spans="1:4" ht="22.5" customHeight="1" thickBot="1">
      <c r="A42" s="18" t="s">
        <v>32</v>
      </c>
      <c r="B42" s="22" t="s">
        <v>11</v>
      </c>
      <c r="C42" s="20" t="s">
        <v>7</v>
      </c>
      <c r="D42" s="38">
        <f>3.35*9830.2*12</f>
        <v>395174.04000000004</v>
      </c>
    </row>
    <row r="43" spans="1:4" ht="16.5" thickBot="1">
      <c r="A43" s="15" t="s">
        <v>0</v>
      </c>
      <c r="B43" s="16" t="s">
        <v>1</v>
      </c>
      <c r="C43" s="16" t="s">
        <v>2</v>
      </c>
      <c r="D43" s="17" t="s">
        <v>3</v>
      </c>
    </row>
    <row r="44" spans="1:4" ht="44.25" customHeight="1" thickBot="1">
      <c r="A44" s="18" t="s">
        <v>30</v>
      </c>
      <c r="B44" s="19" t="s">
        <v>4</v>
      </c>
      <c r="C44" s="20" t="s">
        <v>10</v>
      </c>
      <c r="D44" s="21" t="s">
        <v>36</v>
      </c>
    </row>
    <row r="45" spans="1:4" ht="48" thickBot="1">
      <c r="A45" s="18" t="s">
        <v>31</v>
      </c>
      <c r="B45" s="22" t="s">
        <v>6</v>
      </c>
      <c r="C45" s="20" t="s">
        <v>5</v>
      </c>
      <c r="D45" s="23" t="s">
        <v>26</v>
      </c>
    </row>
    <row r="46" spans="1:4" ht="32.25" thickBot="1">
      <c r="A46" s="18" t="s">
        <v>32</v>
      </c>
      <c r="B46" s="22" t="s">
        <v>11</v>
      </c>
      <c r="C46" s="20" t="s">
        <v>7</v>
      </c>
      <c r="D46" s="38">
        <f>0.19*9830.2*12</f>
        <v>22412.856</v>
      </c>
    </row>
    <row r="47" spans="1:4" ht="16.5" thickBot="1">
      <c r="A47" s="15" t="s">
        <v>0</v>
      </c>
      <c r="B47" s="16" t="s">
        <v>1</v>
      </c>
      <c r="C47" s="16" t="s">
        <v>2</v>
      </c>
      <c r="D47" s="17" t="s">
        <v>3</v>
      </c>
    </row>
    <row r="48" spans="1:4" ht="34.5" customHeight="1" thickBot="1">
      <c r="A48" s="18" t="s">
        <v>30</v>
      </c>
      <c r="B48" s="19" t="s">
        <v>4</v>
      </c>
      <c r="C48" s="20" t="s">
        <v>10</v>
      </c>
      <c r="D48" s="21" t="s">
        <v>36</v>
      </c>
    </row>
    <row r="49" spans="1:4" ht="32.25" thickBot="1">
      <c r="A49" s="18" t="s">
        <v>31</v>
      </c>
      <c r="B49" s="22" t="s">
        <v>6</v>
      </c>
      <c r="C49" s="20" t="s">
        <v>5</v>
      </c>
      <c r="D49" s="23" t="s">
        <v>22</v>
      </c>
    </row>
    <row r="50" spans="1:4" ht="30" customHeight="1" thickBot="1">
      <c r="A50" s="18" t="s">
        <v>32</v>
      </c>
      <c r="B50" s="22" t="s">
        <v>11</v>
      </c>
      <c r="C50" s="20" t="s">
        <v>7</v>
      </c>
      <c r="D50" s="38">
        <f>1.26*9830.2*12</f>
        <v>148632.624</v>
      </c>
    </row>
    <row r="51" spans="1:4" ht="16.5" thickBot="1">
      <c r="A51" s="15" t="s">
        <v>0</v>
      </c>
      <c r="B51" s="16" t="s">
        <v>1</v>
      </c>
      <c r="C51" s="16" t="s">
        <v>2</v>
      </c>
      <c r="D51" s="17" t="s">
        <v>3</v>
      </c>
    </row>
    <row r="52" spans="1:4" ht="32.25" thickBot="1">
      <c r="A52" s="18" t="s">
        <v>30</v>
      </c>
      <c r="B52" s="19" t="s">
        <v>4</v>
      </c>
      <c r="C52" s="20" t="s">
        <v>10</v>
      </c>
      <c r="D52" s="21" t="s">
        <v>36</v>
      </c>
    </row>
    <row r="53" spans="1:4" ht="32.25" thickBot="1">
      <c r="A53" s="18" t="s">
        <v>31</v>
      </c>
      <c r="B53" s="22" t="s">
        <v>6</v>
      </c>
      <c r="C53" s="20" t="s">
        <v>5</v>
      </c>
      <c r="D53" s="23" t="s">
        <v>24</v>
      </c>
    </row>
    <row r="54" spans="1:4" ht="32.25" thickBot="1">
      <c r="A54" s="18" t="s">
        <v>32</v>
      </c>
      <c r="B54" s="22" t="s">
        <v>11</v>
      </c>
      <c r="C54" s="20" t="s">
        <v>7</v>
      </c>
      <c r="D54" s="38">
        <f>1.56*9830.2*12</f>
        <v>184021.344</v>
      </c>
    </row>
    <row r="55" spans="1:4" ht="16.5" thickBot="1">
      <c r="A55" s="15" t="s">
        <v>0</v>
      </c>
      <c r="B55" s="16" t="s">
        <v>1</v>
      </c>
      <c r="C55" s="16" t="s">
        <v>2</v>
      </c>
      <c r="D55" s="17" t="s">
        <v>3</v>
      </c>
    </row>
    <row r="56" spans="1:4" ht="32.25" thickBot="1">
      <c r="A56" s="18" t="s">
        <v>30</v>
      </c>
      <c r="B56" s="19" t="s">
        <v>4</v>
      </c>
      <c r="C56" s="20" t="s">
        <v>10</v>
      </c>
      <c r="D56" s="21" t="s">
        <v>36</v>
      </c>
    </row>
    <row r="57" spans="1:4" ht="32.25" thickBot="1">
      <c r="A57" s="18" t="s">
        <v>31</v>
      </c>
      <c r="B57" s="22" t="s">
        <v>6</v>
      </c>
      <c r="C57" s="20" t="s">
        <v>5</v>
      </c>
      <c r="D57" s="23" t="s">
        <v>44</v>
      </c>
    </row>
    <row r="58" spans="1:4" ht="32.25" thickBot="1">
      <c r="A58" s="18" t="s">
        <v>32</v>
      </c>
      <c r="B58" s="22" t="s">
        <v>11</v>
      </c>
      <c r="C58" s="20" t="s">
        <v>7</v>
      </c>
      <c r="D58" s="38">
        <f>0.27*9830.2*12</f>
        <v>31849.848000000005</v>
      </c>
    </row>
    <row r="59" spans="1:4" ht="15.75">
      <c r="A59" s="29"/>
      <c r="B59" s="29"/>
      <c r="C59" s="30"/>
      <c r="D59" s="32"/>
    </row>
    <row r="60" spans="1:4" ht="15.75">
      <c r="A60" s="29"/>
      <c r="B60" s="29" t="s">
        <v>35</v>
      </c>
      <c r="C60" s="30"/>
      <c r="D60" s="32"/>
    </row>
    <row r="61" spans="1:4" ht="15.75" hidden="1">
      <c r="A61" s="29"/>
      <c r="B61" s="29"/>
      <c r="C61" s="30"/>
      <c r="D61" s="31">
        <f>D54+D50+D46+D42+D38+D34+D30+D26+D22+D18+D14+D10+D6</f>
        <v>4763321.712</v>
      </c>
    </row>
    <row r="62" ht="15" hidden="1">
      <c r="D62" s="39"/>
    </row>
    <row r="63" spans="3:4" ht="15" hidden="1">
      <c r="C63" s="3" t="s">
        <v>34</v>
      </c>
      <c r="D63" s="42">
        <f>9830.2*39/1.18+9830.2*40.65*11/1.18+D38</f>
        <v>4049959.0932203387</v>
      </c>
    </row>
    <row r="64" ht="15" hidden="1">
      <c r="D64" s="5"/>
    </row>
    <row r="65" ht="15">
      <c r="D65" s="5"/>
    </row>
    <row r="66" ht="15">
      <c r="D66" s="5"/>
    </row>
    <row r="67" spans="3:4" ht="15">
      <c r="C67" s="55">
        <f>40.65*9830.2*12</f>
        <v>4795171.5600000005</v>
      </c>
      <c r="D67" s="47">
        <f>D6+D10+D14+D18+D22+D26+D30+D34+D42+D46+D50+D54+D58</f>
        <v>4795171.56</v>
      </c>
    </row>
    <row r="68" ht="15">
      <c r="D68" s="5"/>
    </row>
    <row r="69" ht="15">
      <c r="D69" s="5"/>
    </row>
    <row r="70" ht="15">
      <c r="D70" s="5"/>
    </row>
  </sheetData>
  <sheetProtection/>
  <mergeCells count="1">
    <mergeCell ref="A1:D1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3"/>
  <sheetViews>
    <sheetView view="pageBreakPreview" zoomScaleSheetLayoutView="100" zoomScalePageLayoutView="0" workbookViewId="0" topLeftCell="A55">
      <selection activeCell="D9" sqref="D9"/>
    </sheetView>
  </sheetViews>
  <sheetFormatPr defaultColWidth="9.140625" defaultRowHeight="15"/>
  <cols>
    <col min="1" max="1" width="7.28125" style="1" bestFit="1" customWidth="1"/>
    <col min="2" max="2" width="55.00390625" style="1" customWidth="1"/>
    <col min="3" max="3" width="15.00390625" style="3" customWidth="1"/>
    <col min="4" max="4" width="79.140625" style="2" customWidth="1"/>
    <col min="6" max="6" width="13.140625" style="0" customWidth="1"/>
  </cols>
  <sheetData>
    <row r="1" spans="1:4" ht="63" customHeight="1">
      <c r="A1" s="45" t="s">
        <v>9</v>
      </c>
      <c r="B1" s="45"/>
      <c r="C1" s="45"/>
      <c r="D1" s="45"/>
    </row>
    <row r="2" spans="1:4" ht="18.75" customHeight="1" thickBot="1">
      <c r="A2" s="11"/>
      <c r="B2" s="12" t="s">
        <v>45</v>
      </c>
      <c r="C2" s="13"/>
      <c r="D2" s="14"/>
    </row>
    <row r="3" spans="1:4" ht="16.5" thickBot="1">
      <c r="A3" s="15" t="s">
        <v>0</v>
      </c>
      <c r="B3" s="16" t="s">
        <v>1</v>
      </c>
      <c r="C3" s="16" t="s">
        <v>2</v>
      </c>
      <c r="D3" s="17" t="s">
        <v>3</v>
      </c>
    </row>
    <row r="4" spans="1:4" ht="18" customHeight="1" thickBot="1">
      <c r="A4" s="18" t="s">
        <v>30</v>
      </c>
      <c r="B4" s="19" t="s">
        <v>4</v>
      </c>
      <c r="C4" s="20" t="s">
        <v>10</v>
      </c>
      <c r="D4" s="21" t="s">
        <v>36</v>
      </c>
    </row>
    <row r="5" spans="1:4" ht="19.5" customHeight="1" thickBot="1">
      <c r="A5" s="18" t="s">
        <v>31</v>
      </c>
      <c r="B5" s="22" t="s">
        <v>6</v>
      </c>
      <c r="C5" s="20" t="s">
        <v>5</v>
      </c>
      <c r="D5" s="23" t="s">
        <v>12</v>
      </c>
    </row>
    <row r="6" spans="1:4" ht="32.25" thickBot="1">
      <c r="A6" s="18" t="s">
        <v>32</v>
      </c>
      <c r="B6" s="22" t="s">
        <v>11</v>
      </c>
      <c r="C6" s="20" t="s">
        <v>7</v>
      </c>
      <c r="D6" s="38">
        <f>5.86*6438.6*12</f>
        <v>452762.3520000001</v>
      </c>
    </row>
    <row r="7" spans="1:4" ht="16.5" thickBot="1">
      <c r="A7" s="15" t="s">
        <v>0</v>
      </c>
      <c r="B7" s="16" t="s">
        <v>1</v>
      </c>
      <c r="C7" s="16" t="s">
        <v>2</v>
      </c>
      <c r="D7" s="17" t="s">
        <v>3</v>
      </c>
    </row>
    <row r="8" spans="1:4" ht="21" customHeight="1" thickBot="1">
      <c r="A8" s="18" t="s">
        <v>30</v>
      </c>
      <c r="B8" s="19" t="s">
        <v>4</v>
      </c>
      <c r="C8" s="20" t="s">
        <v>10</v>
      </c>
      <c r="D8" s="21" t="s">
        <v>36</v>
      </c>
    </row>
    <row r="9" spans="1:4" ht="32.25" thickBot="1">
      <c r="A9" s="18" t="s">
        <v>31</v>
      </c>
      <c r="B9" s="22" t="s">
        <v>6</v>
      </c>
      <c r="C9" s="20" t="s">
        <v>5</v>
      </c>
      <c r="D9" s="23" t="s">
        <v>13</v>
      </c>
    </row>
    <row r="10" spans="1:4" ht="32.25" thickBot="1">
      <c r="A10" s="18" t="s">
        <v>32</v>
      </c>
      <c r="B10" s="22" t="s">
        <v>11</v>
      </c>
      <c r="C10" s="20" t="s">
        <v>7</v>
      </c>
      <c r="D10" s="38">
        <f>1.38*6438.6*12</f>
        <v>106623.216</v>
      </c>
    </row>
    <row r="11" spans="1:4" ht="16.5" thickBot="1">
      <c r="A11" s="15" t="s">
        <v>0</v>
      </c>
      <c r="B11" s="16" t="s">
        <v>1</v>
      </c>
      <c r="C11" s="16" t="s">
        <v>2</v>
      </c>
      <c r="D11" s="17" t="s">
        <v>3</v>
      </c>
    </row>
    <row r="12" spans="1:4" ht="17.25" customHeight="1" thickBot="1">
      <c r="A12" s="18" t="s">
        <v>30</v>
      </c>
      <c r="B12" s="19" t="s">
        <v>4</v>
      </c>
      <c r="C12" s="20" t="s">
        <v>10</v>
      </c>
      <c r="D12" s="21" t="s">
        <v>36</v>
      </c>
    </row>
    <row r="13" spans="1:4" ht="32.25" thickBot="1">
      <c r="A13" s="18" t="s">
        <v>31</v>
      </c>
      <c r="B13" s="22" t="s">
        <v>6</v>
      </c>
      <c r="C13" s="20" t="s">
        <v>5</v>
      </c>
      <c r="D13" s="23" t="s">
        <v>14</v>
      </c>
    </row>
    <row r="14" spans="1:4" ht="32.25" thickBot="1">
      <c r="A14" s="18" t="s">
        <v>32</v>
      </c>
      <c r="B14" s="22" t="s">
        <v>11</v>
      </c>
      <c r="C14" s="20" t="s">
        <v>7</v>
      </c>
      <c r="D14" s="38">
        <f>2.83*6438.6*12</f>
        <v>218654.85600000003</v>
      </c>
    </row>
    <row r="15" spans="1:4" ht="16.5" thickBot="1">
      <c r="A15" s="15" t="s">
        <v>0</v>
      </c>
      <c r="B15" s="16" t="s">
        <v>1</v>
      </c>
      <c r="C15" s="16" t="s">
        <v>2</v>
      </c>
      <c r="D15" s="17" t="s">
        <v>3</v>
      </c>
    </row>
    <row r="16" spans="1:4" ht="32.25" thickBot="1">
      <c r="A16" s="18" t="s">
        <v>30</v>
      </c>
      <c r="B16" s="19" t="s">
        <v>4</v>
      </c>
      <c r="C16" s="20" t="s">
        <v>10</v>
      </c>
      <c r="D16" s="21" t="s">
        <v>36</v>
      </c>
    </row>
    <row r="17" spans="1:4" ht="21" customHeight="1" thickBot="1">
      <c r="A17" s="18" t="s">
        <v>31</v>
      </c>
      <c r="B17" s="22" t="s">
        <v>6</v>
      </c>
      <c r="C17" s="20" t="s">
        <v>5</v>
      </c>
      <c r="D17" s="23" t="s">
        <v>15</v>
      </c>
    </row>
    <row r="18" spans="1:4" ht="32.25" thickBot="1">
      <c r="A18" s="18" t="s">
        <v>32</v>
      </c>
      <c r="B18" s="22" t="s">
        <v>11</v>
      </c>
      <c r="C18" s="20" t="s">
        <v>7</v>
      </c>
      <c r="D18" s="38">
        <f>1.4*6438.6*12</f>
        <v>108168.47999999998</v>
      </c>
    </row>
    <row r="19" spans="1:4" ht="16.5" thickBot="1">
      <c r="A19" s="15" t="s">
        <v>0</v>
      </c>
      <c r="B19" s="16" t="s">
        <v>1</v>
      </c>
      <c r="C19" s="16" t="s">
        <v>2</v>
      </c>
      <c r="D19" s="17" t="s">
        <v>3</v>
      </c>
    </row>
    <row r="20" spans="1:4" ht="19.5" customHeight="1" thickBot="1">
      <c r="A20" s="18" t="s">
        <v>30</v>
      </c>
      <c r="B20" s="19" t="s">
        <v>4</v>
      </c>
      <c r="C20" s="20" t="s">
        <v>10</v>
      </c>
      <c r="D20" s="21" t="s">
        <v>36</v>
      </c>
    </row>
    <row r="21" spans="1:4" ht="47.25" customHeight="1" thickBot="1">
      <c r="A21" s="18" t="s">
        <v>31</v>
      </c>
      <c r="B21" s="22" t="s">
        <v>6</v>
      </c>
      <c r="C21" s="20" t="s">
        <v>5</v>
      </c>
      <c r="D21" s="23" t="s">
        <v>16</v>
      </c>
    </row>
    <row r="22" spans="1:4" ht="32.25" thickBot="1">
      <c r="A22" s="18" t="s">
        <v>32</v>
      </c>
      <c r="B22" s="22" t="s">
        <v>11</v>
      </c>
      <c r="C22" s="20" t="s">
        <v>7</v>
      </c>
      <c r="D22" s="38">
        <f>0.44*6438.6*12</f>
        <v>33995.808000000005</v>
      </c>
    </row>
    <row r="23" spans="1:4" ht="16.5" thickBot="1">
      <c r="A23" s="15" t="s">
        <v>0</v>
      </c>
      <c r="B23" s="16" t="s">
        <v>1</v>
      </c>
      <c r="C23" s="16" t="s">
        <v>2</v>
      </c>
      <c r="D23" s="17" t="s">
        <v>3</v>
      </c>
    </row>
    <row r="24" spans="1:4" ht="23.25" customHeight="1" thickBot="1">
      <c r="A24" s="18" t="s">
        <v>30</v>
      </c>
      <c r="B24" s="19" t="s">
        <v>4</v>
      </c>
      <c r="C24" s="20" t="s">
        <v>10</v>
      </c>
      <c r="D24" s="21" t="s">
        <v>36</v>
      </c>
    </row>
    <row r="25" spans="1:4" ht="18.75" customHeight="1" thickBot="1">
      <c r="A25" s="18" t="s">
        <v>31</v>
      </c>
      <c r="B25" s="22" t="s">
        <v>6</v>
      </c>
      <c r="C25" s="20" t="s">
        <v>5</v>
      </c>
      <c r="D25" s="23" t="s">
        <v>19</v>
      </c>
    </row>
    <row r="26" spans="1:4" ht="32.25" thickBot="1">
      <c r="A26" s="18" t="s">
        <v>32</v>
      </c>
      <c r="B26" s="22" t="s">
        <v>11</v>
      </c>
      <c r="C26" s="20" t="s">
        <v>7</v>
      </c>
      <c r="D26" s="38">
        <f>7.35*6438.6*12</f>
        <v>567884.52</v>
      </c>
    </row>
    <row r="27" spans="1:4" ht="16.5" thickBot="1">
      <c r="A27" s="15" t="s">
        <v>0</v>
      </c>
      <c r="B27" s="16" t="s">
        <v>1</v>
      </c>
      <c r="C27" s="16" t="s">
        <v>2</v>
      </c>
      <c r="D27" s="17" t="s">
        <v>3</v>
      </c>
    </row>
    <row r="28" spans="1:4" ht="17.25" customHeight="1" thickBot="1">
      <c r="A28" s="18" t="s">
        <v>30</v>
      </c>
      <c r="B28" s="19" t="s">
        <v>4</v>
      </c>
      <c r="C28" s="20" t="s">
        <v>10</v>
      </c>
      <c r="D28" s="21" t="s">
        <v>36</v>
      </c>
    </row>
    <row r="29" spans="1:4" ht="49.5" customHeight="1" thickBot="1">
      <c r="A29" s="18" t="s">
        <v>31</v>
      </c>
      <c r="B29" s="22" t="s">
        <v>6</v>
      </c>
      <c r="C29" s="20" t="s">
        <v>5</v>
      </c>
      <c r="D29" s="43" t="s">
        <v>23</v>
      </c>
    </row>
    <row r="30" spans="1:4" ht="32.25" thickBot="1">
      <c r="A30" s="18" t="s">
        <v>32</v>
      </c>
      <c r="B30" s="22" t="s">
        <v>11</v>
      </c>
      <c r="C30" s="20" t="s">
        <v>7</v>
      </c>
      <c r="D30" s="44">
        <f>6.55*6438.6*12</f>
        <v>506073.96</v>
      </c>
    </row>
    <row r="31" spans="1:4" ht="16.5" thickBot="1">
      <c r="A31" s="15" t="s">
        <v>0</v>
      </c>
      <c r="B31" s="16" t="s">
        <v>1</v>
      </c>
      <c r="C31" s="16" t="s">
        <v>2</v>
      </c>
      <c r="D31" s="17" t="s">
        <v>3</v>
      </c>
    </row>
    <row r="32" spans="1:4" ht="15" customHeight="1" thickBot="1">
      <c r="A32" s="18" t="s">
        <v>30</v>
      </c>
      <c r="B32" s="19" t="s">
        <v>4</v>
      </c>
      <c r="C32" s="20" t="s">
        <v>10</v>
      </c>
      <c r="D32" s="21" t="s">
        <v>36</v>
      </c>
    </row>
    <row r="33" spans="1:4" ht="32.25" thickBot="1">
      <c r="A33" s="18" t="s">
        <v>31</v>
      </c>
      <c r="B33" s="22" t="s">
        <v>6</v>
      </c>
      <c r="C33" s="20" t="s">
        <v>5</v>
      </c>
      <c r="D33" s="23" t="s">
        <v>20</v>
      </c>
    </row>
    <row r="34" spans="1:4" ht="32.25" thickBot="1">
      <c r="A34" s="18" t="s">
        <v>32</v>
      </c>
      <c r="B34" s="22" t="s">
        <v>11</v>
      </c>
      <c r="C34" s="20" t="s">
        <v>7</v>
      </c>
      <c r="D34" s="38">
        <f>0.17*6438.6*12</f>
        <v>13134.744000000002</v>
      </c>
    </row>
    <row r="35" spans="1:6" ht="16.5" thickBot="1">
      <c r="A35" s="15" t="s">
        <v>0</v>
      </c>
      <c r="B35" s="16" t="s">
        <v>1</v>
      </c>
      <c r="C35" s="16" t="s">
        <v>2</v>
      </c>
      <c r="D35" s="17" t="s">
        <v>3</v>
      </c>
      <c r="F35" s="4"/>
    </row>
    <row r="36" spans="1:4" ht="20.25" customHeight="1" thickBot="1">
      <c r="A36" s="18" t="s">
        <v>30</v>
      </c>
      <c r="B36" s="19" t="s">
        <v>4</v>
      </c>
      <c r="C36" s="20" t="s">
        <v>10</v>
      </c>
      <c r="D36" s="21" t="s">
        <v>36</v>
      </c>
    </row>
    <row r="37" spans="1:4" ht="21" customHeight="1" thickBot="1">
      <c r="A37" s="18" t="s">
        <v>31</v>
      </c>
      <c r="B37" s="22" t="s">
        <v>6</v>
      </c>
      <c r="C37" s="20" t="s">
        <v>5</v>
      </c>
      <c r="D37" s="23" t="s">
        <v>21</v>
      </c>
    </row>
    <row r="38" spans="1:4" ht="32.25" thickBot="1">
      <c r="A38" s="18" t="s">
        <v>32</v>
      </c>
      <c r="B38" s="22" t="s">
        <v>11</v>
      </c>
      <c r="C38" s="20" t="s">
        <v>7</v>
      </c>
      <c r="D38" s="38">
        <f>6.42*6438.6*12</f>
        <v>496029.74400000006</v>
      </c>
    </row>
    <row r="39" spans="1:4" ht="16.5" thickBot="1">
      <c r="A39" s="15" t="s">
        <v>0</v>
      </c>
      <c r="B39" s="16" t="s">
        <v>1</v>
      </c>
      <c r="C39" s="16" t="s">
        <v>2</v>
      </c>
      <c r="D39" s="17" t="s">
        <v>3</v>
      </c>
    </row>
    <row r="40" spans="1:4" ht="21" customHeight="1" thickBot="1">
      <c r="A40" s="18" t="s">
        <v>30</v>
      </c>
      <c r="B40" s="19" t="s">
        <v>4</v>
      </c>
      <c r="C40" s="20" t="s">
        <v>10</v>
      </c>
      <c r="D40" s="21" t="s">
        <v>36</v>
      </c>
    </row>
    <row r="41" spans="1:4" ht="18.75" customHeight="1" thickBot="1">
      <c r="A41" s="18" t="s">
        <v>31</v>
      </c>
      <c r="B41" s="22" t="s">
        <v>6</v>
      </c>
      <c r="C41" s="20" t="s">
        <v>5</v>
      </c>
      <c r="D41" s="23" t="s">
        <v>18</v>
      </c>
    </row>
    <row r="42" spans="1:4" ht="32.25" thickBot="1">
      <c r="A42" s="18" t="s">
        <v>32</v>
      </c>
      <c r="B42" s="22" t="s">
        <v>11</v>
      </c>
      <c r="C42" s="20" t="s">
        <v>7</v>
      </c>
      <c r="D42" s="38">
        <f>1.97*6438.6*12</f>
        <v>152208.50400000002</v>
      </c>
    </row>
    <row r="43" spans="1:4" ht="16.5" thickBot="1">
      <c r="A43" s="15" t="s">
        <v>0</v>
      </c>
      <c r="B43" s="16" t="s">
        <v>1</v>
      </c>
      <c r="C43" s="16" t="s">
        <v>2</v>
      </c>
      <c r="D43" s="17" t="s">
        <v>3</v>
      </c>
    </row>
    <row r="44" spans="1:4" ht="18.75" customHeight="1" thickBot="1">
      <c r="A44" s="18" t="s">
        <v>30</v>
      </c>
      <c r="B44" s="19" t="s">
        <v>4</v>
      </c>
      <c r="C44" s="20" t="s">
        <v>10</v>
      </c>
      <c r="D44" s="21" t="s">
        <v>36</v>
      </c>
    </row>
    <row r="45" spans="1:4" ht="32.25" thickBot="1">
      <c r="A45" s="18" t="s">
        <v>31</v>
      </c>
      <c r="B45" s="22" t="s">
        <v>6</v>
      </c>
      <c r="C45" s="20" t="s">
        <v>5</v>
      </c>
      <c r="D45" s="43" t="s">
        <v>8</v>
      </c>
    </row>
    <row r="46" spans="1:4" ht="32.25" thickBot="1">
      <c r="A46" s="18" t="s">
        <v>32</v>
      </c>
      <c r="B46" s="22" t="s">
        <v>11</v>
      </c>
      <c r="C46" s="20" t="s">
        <v>7</v>
      </c>
      <c r="D46" s="44">
        <v>7536</v>
      </c>
    </row>
    <row r="47" spans="1:4" ht="16.5" thickBot="1">
      <c r="A47" s="15" t="s">
        <v>0</v>
      </c>
      <c r="B47" s="16" t="s">
        <v>1</v>
      </c>
      <c r="C47" s="16" t="s">
        <v>2</v>
      </c>
      <c r="D47" s="17" t="s">
        <v>3</v>
      </c>
    </row>
    <row r="48" spans="1:4" ht="20.25" customHeight="1" thickBot="1">
      <c r="A48" s="18" t="s">
        <v>30</v>
      </c>
      <c r="B48" s="19" t="s">
        <v>4</v>
      </c>
      <c r="C48" s="20" t="s">
        <v>10</v>
      </c>
      <c r="D48" s="21" t="s">
        <v>36</v>
      </c>
    </row>
    <row r="49" spans="1:4" ht="24" customHeight="1" thickBot="1">
      <c r="A49" s="18" t="s">
        <v>31</v>
      </c>
      <c r="B49" s="22" t="s">
        <v>6</v>
      </c>
      <c r="C49" s="20" t="s">
        <v>5</v>
      </c>
      <c r="D49" s="23" t="s">
        <v>17</v>
      </c>
    </row>
    <row r="50" spans="1:4" ht="22.5" customHeight="1" thickBot="1">
      <c r="A50" s="18" t="s">
        <v>32</v>
      </c>
      <c r="B50" s="22" t="s">
        <v>11</v>
      </c>
      <c r="C50" s="20" t="s">
        <v>7</v>
      </c>
      <c r="D50" s="38">
        <f>3.35*6438.6*12</f>
        <v>258831.72000000003</v>
      </c>
    </row>
    <row r="51" spans="1:4" ht="16.5" thickBot="1">
      <c r="A51" s="15" t="s">
        <v>0</v>
      </c>
      <c r="B51" s="16" t="s">
        <v>1</v>
      </c>
      <c r="C51" s="16" t="s">
        <v>2</v>
      </c>
      <c r="D51" s="17" t="s">
        <v>3</v>
      </c>
    </row>
    <row r="52" spans="1:4" ht="20.25" customHeight="1" thickBot="1">
      <c r="A52" s="18" t="s">
        <v>30</v>
      </c>
      <c r="B52" s="19" t="s">
        <v>4</v>
      </c>
      <c r="C52" s="20" t="s">
        <v>10</v>
      </c>
      <c r="D52" s="21" t="s">
        <v>36</v>
      </c>
    </row>
    <row r="53" spans="1:4" ht="33" customHeight="1" thickBot="1">
      <c r="A53" s="18" t="s">
        <v>31</v>
      </c>
      <c r="B53" s="22" t="s">
        <v>6</v>
      </c>
      <c r="C53" s="20" t="s">
        <v>5</v>
      </c>
      <c r="D53" s="23" t="s">
        <v>26</v>
      </c>
    </row>
    <row r="54" spans="1:4" ht="32.25" thickBot="1">
      <c r="A54" s="18" t="s">
        <v>32</v>
      </c>
      <c r="B54" s="22" t="s">
        <v>11</v>
      </c>
      <c r="C54" s="20" t="s">
        <v>7</v>
      </c>
      <c r="D54" s="38">
        <f>0.19*6438.6*12</f>
        <v>14680.008000000002</v>
      </c>
    </row>
    <row r="55" spans="1:4" ht="16.5" thickBot="1">
      <c r="A55" s="15" t="s">
        <v>0</v>
      </c>
      <c r="B55" s="16" t="s">
        <v>1</v>
      </c>
      <c r="C55" s="16" t="s">
        <v>2</v>
      </c>
      <c r="D55" s="17" t="s">
        <v>3</v>
      </c>
    </row>
    <row r="56" spans="1:4" ht="17.25" customHeight="1" thickBot="1">
      <c r="A56" s="18" t="s">
        <v>30</v>
      </c>
      <c r="B56" s="19" t="s">
        <v>4</v>
      </c>
      <c r="C56" s="20" t="s">
        <v>10</v>
      </c>
      <c r="D56" s="21" t="s">
        <v>36</v>
      </c>
    </row>
    <row r="57" spans="1:4" ht="25.5" customHeight="1" thickBot="1">
      <c r="A57" s="18" t="s">
        <v>31</v>
      </c>
      <c r="B57" s="22" t="s">
        <v>6</v>
      </c>
      <c r="C57" s="20" t="s">
        <v>5</v>
      </c>
      <c r="D57" s="23" t="s">
        <v>22</v>
      </c>
    </row>
    <row r="58" spans="1:4" ht="32.25" thickBot="1">
      <c r="A58" s="18" t="s">
        <v>32</v>
      </c>
      <c r="B58" s="22" t="s">
        <v>11</v>
      </c>
      <c r="C58" s="20" t="s">
        <v>7</v>
      </c>
      <c r="D58" s="38">
        <f>1.26*6438.6*12</f>
        <v>97351.63200000001</v>
      </c>
    </row>
    <row r="59" spans="1:4" ht="16.5" thickBot="1">
      <c r="A59" s="15" t="s">
        <v>0</v>
      </c>
      <c r="B59" s="16" t="s">
        <v>1</v>
      </c>
      <c r="C59" s="16" t="s">
        <v>2</v>
      </c>
      <c r="D59" s="17" t="s">
        <v>3</v>
      </c>
    </row>
    <row r="60" spans="1:4" ht="21.75" customHeight="1" thickBot="1">
      <c r="A60" s="18" t="s">
        <v>30</v>
      </c>
      <c r="B60" s="19" t="s">
        <v>4</v>
      </c>
      <c r="C60" s="20" t="s">
        <v>10</v>
      </c>
      <c r="D60" s="21" t="s">
        <v>36</v>
      </c>
    </row>
    <row r="61" spans="1:4" ht="19.5" customHeight="1" thickBot="1">
      <c r="A61" s="18" t="s">
        <v>31</v>
      </c>
      <c r="B61" s="22" t="s">
        <v>6</v>
      </c>
      <c r="C61" s="20" t="s">
        <v>5</v>
      </c>
      <c r="D61" s="23" t="s">
        <v>24</v>
      </c>
    </row>
    <row r="62" spans="1:4" ht="32.25" thickBot="1">
      <c r="A62" s="18" t="s">
        <v>32</v>
      </c>
      <c r="B62" s="22" t="s">
        <v>11</v>
      </c>
      <c r="C62" s="20" t="s">
        <v>7</v>
      </c>
      <c r="D62" s="38">
        <f>0.99*6438.6*12</f>
        <v>76490.568</v>
      </c>
    </row>
    <row r="63" spans="1:4" ht="15.75">
      <c r="A63" s="29"/>
      <c r="B63" s="29"/>
      <c r="C63" s="30"/>
      <c r="D63" s="32"/>
    </row>
    <row r="64" spans="1:4" ht="15.75">
      <c r="A64" s="29"/>
      <c r="B64" s="29" t="s">
        <v>35</v>
      </c>
      <c r="C64" s="30"/>
      <c r="D64" s="32"/>
    </row>
    <row r="65" spans="1:4" ht="15.75" hidden="1">
      <c r="A65" s="29"/>
      <c r="B65" s="29"/>
      <c r="C65" s="30"/>
      <c r="D65" s="31">
        <f>D62+D58+D54+D50+D46+D42+D38+D34+D30+D26+D22+D18+D14+D10+D6</f>
        <v>3110426.112</v>
      </c>
    </row>
    <row r="66" ht="15" hidden="1"/>
    <row r="67" spans="3:4" ht="15.75" hidden="1">
      <c r="C67" s="3" t="s">
        <v>34</v>
      </c>
      <c r="D67" s="31">
        <f>6438.5*38.55/1.18+6438.5*40.16*11/1.18+6397.1*39.41/1.18+6397.1*41*11/1.18+D46</f>
        <v>5286923.920338984</v>
      </c>
    </row>
    <row r="68" ht="15" hidden="1"/>
    <row r="69" ht="15" hidden="1">
      <c r="D69" s="42">
        <f>D65-D67</f>
        <v>-2176497.8083389835</v>
      </c>
    </row>
    <row r="70" ht="15" hidden="1"/>
    <row r="73" spans="3:4" ht="15">
      <c r="C73" s="55">
        <f>40.16*6438.6*12</f>
        <v>3102890.112</v>
      </c>
      <c r="D73" s="47">
        <f>D6+D10+D14+D18+D22+D26+D30+D34+D38+D42+D50+D54+D58+D62</f>
        <v>3102890.1120000007</v>
      </c>
    </row>
  </sheetData>
  <sheetProtection/>
  <mergeCells count="1">
    <mergeCell ref="A1:D1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2"/>
  <sheetViews>
    <sheetView view="pageBreakPreview" zoomScaleSheetLayoutView="100" zoomScalePageLayoutView="0" workbookViewId="0" topLeftCell="A52">
      <selection activeCell="F48" sqref="F48"/>
    </sheetView>
  </sheetViews>
  <sheetFormatPr defaultColWidth="9.140625" defaultRowHeight="15"/>
  <cols>
    <col min="1" max="1" width="7.28125" style="1" bestFit="1" customWidth="1"/>
    <col min="2" max="2" width="55.00390625" style="1" customWidth="1"/>
    <col min="3" max="3" width="15.00390625" style="3" customWidth="1"/>
    <col min="4" max="4" width="79.140625" style="2" customWidth="1"/>
    <col min="6" max="6" width="13.140625" style="0" customWidth="1"/>
  </cols>
  <sheetData>
    <row r="1" spans="1:4" ht="63" customHeight="1">
      <c r="A1" s="45" t="s">
        <v>9</v>
      </c>
      <c r="B1" s="45"/>
      <c r="C1" s="45"/>
      <c r="D1" s="45"/>
    </row>
    <row r="2" spans="1:4" ht="18.75" customHeight="1" thickBot="1">
      <c r="A2" s="11"/>
      <c r="B2" s="12" t="s">
        <v>46</v>
      </c>
      <c r="C2" s="13"/>
      <c r="D2" s="14"/>
    </row>
    <row r="3" spans="1:4" ht="16.5" thickBot="1">
      <c r="A3" s="15" t="s">
        <v>0</v>
      </c>
      <c r="B3" s="16" t="s">
        <v>1</v>
      </c>
      <c r="C3" s="16" t="s">
        <v>2</v>
      </c>
      <c r="D3" s="17" t="s">
        <v>3</v>
      </c>
    </row>
    <row r="4" spans="1:4" ht="18" customHeight="1" thickBot="1">
      <c r="A4" s="18" t="s">
        <v>30</v>
      </c>
      <c r="B4" s="19" t="s">
        <v>4</v>
      </c>
      <c r="C4" s="20" t="s">
        <v>10</v>
      </c>
      <c r="D4" s="21" t="s">
        <v>36</v>
      </c>
    </row>
    <row r="5" spans="1:4" ht="19.5" customHeight="1" thickBot="1">
      <c r="A5" s="18" t="s">
        <v>31</v>
      </c>
      <c r="B5" s="22" t="s">
        <v>6</v>
      </c>
      <c r="C5" s="20" t="s">
        <v>5</v>
      </c>
      <c r="D5" s="23" t="s">
        <v>12</v>
      </c>
    </row>
    <row r="6" spans="1:4" ht="32.25" thickBot="1">
      <c r="A6" s="18" t="s">
        <v>32</v>
      </c>
      <c r="B6" s="22" t="s">
        <v>11</v>
      </c>
      <c r="C6" s="20" t="s">
        <v>7</v>
      </c>
      <c r="D6" s="38">
        <f>5.86*6597.8*12</f>
        <v>463957.296</v>
      </c>
    </row>
    <row r="7" spans="1:4" ht="16.5" thickBot="1">
      <c r="A7" s="15" t="s">
        <v>0</v>
      </c>
      <c r="B7" s="16" t="s">
        <v>1</v>
      </c>
      <c r="C7" s="16" t="s">
        <v>2</v>
      </c>
      <c r="D7" s="17" t="s">
        <v>3</v>
      </c>
    </row>
    <row r="8" spans="1:4" ht="21" customHeight="1" thickBot="1">
      <c r="A8" s="18" t="s">
        <v>30</v>
      </c>
      <c r="B8" s="19" t="s">
        <v>4</v>
      </c>
      <c r="C8" s="20" t="s">
        <v>10</v>
      </c>
      <c r="D8" s="21" t="s">
        <v>36</v>
      </c>
    </row>
    <row r="9" spans="1:4" ht="32.25" thickBot="1">
      <c r="A9" s="18" t="s">
        <v>31</v>
      </c>
      <c r="B9" s="22" t="s">
        <v>6</v>
      </c>
      <c r="C9" s="20" t="s">
        <v>5</v>
      </c>
      <c r="D9" s="23" t="s">
        <v>13</v>
      </c>
    </row>
    <row r="10" spans="1:4" ht="32.25" thickBot="1">
      <c r="A10" s="18" t="s">
        <v>32</v>
      </c>
      <c r="B10" s="22" t="s">
        <v>11</v>
      </c>
      <c r="C10" s="20" t="s">
        <v>7</v>
      </c>
      <c r="D10" s="38">
        <f>1.38*6597.8*12</f>
        <v>109259.568</v>
      </c>
    </row>
    <row r="11" spans="1:4" ht="16.5" thickBot="1">
      <c r="A11" s="15" t="s">
        <v>0</v>
      </c>
      <c r="B11" s="16" t="s">
        <v>1</v>
      </c>
      <c r="C11" s="16" t="s">
        <v>2</v>
      </c>
      <c r="D11" s="17" t="s">
        <v>3</v>
      </c>
    </row>
    <row r="12" spans="1:4" ht="17.25" customHeight="1" thickBot="1">
      <c r="A12" s="18" t="s">
        <v>30</v>
      </c>
      <c r="B12" s="19" t="s">
        <v>4</v>
      </c>
      <c r="C12" s="20" t="s">
        <v>10</v>
      </c>
      <c r="D12" s="21" t="s">
        <v>36</v>
      </c>
    </row>
    <row r="13" spans="1:4" ht="32.25" thickBot="1">
      <c r="A13" s="18" t="s">
        <v>31</v>
      </c>
      <c r="B13" s="22" t="s">
        <v>6</v>
      </c>
      <c r="C13" s="20" t="s">
        <v>5</v>
      </c>
      <c r="D13" s="23" t="s">
        <v>14</v>
      </c>
    </row>
    <row r="14" spans="1:4" ht="32.25" thickBot="1">
      <c r="A14" s="18" t="s">
        <v>32</v>
      </c>
      <c r="B14" s="22" t="s">
        <v>11</v>
      </c>
      <c r="C14" s="20" t="s">
        <v>7</v>
      </c>
      <c r="D14" s="38">
        <f>2.83*6597.8*12</f>
        <v>224061.288</v>
      </c>
    </row>
    <row r="15" spans="1:4" ht="16.5" thickBot="1">
      <c r="A15" s="15" t="s">
        <v>0</v>
      </c>
      <c r="B15" s="16" t="s">
        <v>1</v>
      </c>
      <c r="C15" s="16" t="s">
        <v>2</v>
      </c>
      <c r="D15" s="17" t="s">
        <v>3</v>
      </c>
    </row>
    <row r="16" spans="1:4" ht="32.25" thickBot="1">
      <c r="A16" s="18" t="s">
        <v>30</v>
      </c>
      <c r="B16" s="19" t="s">
        <v>4</v>
      </c>
      <c r="C16" s="20" t="s">
        <v>10</v>
      </c>
      <c r="D16" s="21" t="s">
        <v>36</v>
      </c>
    </row>
    <row r="17" spans="1:4" ht="21" customHeight="1" thickBot="1">
      <c r="A17" s="18" t="s">
        <v>31</v>
      </c>
      <c r="B17" s="22" t="s">
        <v>6</v>
      </c>
      <c r="C17" s="20" t="s">
        <v>5</v>
      </c>
      <c r="D17" s="23" t="s">
        <v>15</v>
      </c>
    </row>
    <row r="18" spans="1:4" ht="32.25" thickBot="1">
      <c r="A18" s="18" t="s">
        <v>32</v>
      </c>
      <c r="B18" s="22" t="s">
        <v>11</v>
      </c>
      <c r="C18" s="20" t="s">
        <v>7</v>
      </c>
      <c r="D18" s="38">
        <f>1.4*6597.8*12</f>
        <v>110843.04000000001</v>
      </c>
    </row>
    <row r="19" spans="1:4" ht="16.5" thickBot="1">
      <c r="A19" s="15" t="s">
        <v>0</v>
      </c>
      <c r="B19" s="16" t="s">
        <v>1</v>
      </c>
      <c r="C19" s="16" t="s">
        <v>2</v>
      </c>
      <c r="D19" s="17" t="s">
        <v>3</v>
      </c>
    </row>
    <row r="20" spans="1:4" ht="19.5" customHeight="1" thickBot="1">
      <c r="A20" s="18" t="s">
        <v>30</v>
      </c>
      <c r="B20" s="19" t="s">
        <v>4</v>
      </c>
      <c r="C20" s="20" t="s">
        <v>10</v>
      </c>
      <c r="D20" s="21" t="s">
        <v>36</v>
      </c>
    </row>
    <row r="21" spans="1:4" ht="47.25" customHeight="1" thickBot="1">
      <c r="A21" s="18" t="s">
        <v>31</v>
      </c>
      <c r="B21" s="22" t="s">
        <v>6</v>
      </c>
      <c r="C21" s="20" t="s">
        <v>5</v>
      </c>
      <c r="D21" s="23" t="s">
        <v>16</v>
      </c>
    </row>
    <row r="22" spans="1:4" ht="32.25" thickBot="1">
      <c r="A22" s="18" t="s">
        <v>32</v>
      </c>
      <c r="B22" s="22" t="s">
        <v>11</v>
      </c>
      <c r="C22" s="20" t="s">
        <v>7</v>
      </c>
      <c r="D22" s="38">
        <f>0.44*6597.8*12</f>
        <v>34836.384000000005</v>
      </c>
    </row>
    <row r="23" spans="1:4" ht="16.5" thickBot="1">
      <c r="A23" s="15" t="s">
        <v>0</v>
      </c>
      <c r="B23" s="16" t="s">
        <v>1</v>
      </c>
      <c r="C23" s="16" t="s">
        <v>2</v>
      </c>
      <c r="D23" s="17" t="s">
        <v>3</v>
      </c>
    </row>
    <row r="24" spans="1:4" ht="23.25" customHeight="1" thickBot="1">
      <c r="A24" s="18" t="s">
        <v>30</v>
      </c>
      <c r="B24" s="19" t="s">
        <v>4</v>
      </c>
      <c r="C24" s="20" t="s">
        <v>10</v>
      </c>
      <c r="D24" s="21" t="s">
        <v>36</v>
      </c>
    </row>
    <row r="25" spans="1:4" ht="18.75" customHeight="1" thickBot="1">
      <c r="A25" s="18" t="s">
        <v>31</v>
      </c>
      <c r="B25" s="22" t="s">
        <v>6</v>
      </c>
      <c r="C25" s="20" t="s">
        <v>5</v>
      </c>
      <c r="D25" s="23" t="s">
        <v>19</v>
      </c>
    </row>
    <row r="26" spans="1:4" ht="32.25" thickBot="1">
      <c r="A26" s="18" t="s">
        <v>32</v>
      </c>
      <c r="B26" s="22" t="s">
        <v>11</v>
      </c>
      <c r="C26" s="20" t="s">
        <v>7</v>
      </c>
      <c r="D26" s="38">
        <f>7.35*6597.8*12</f>
        <v>581925.96</v>
      </c>
    </row>
    <row r="27" spans="1:4" ht="16.5" thickBot="1">
      <c r="A27" s="15" t="s">
        <v>0</v>
      </c>
      <c r="B27" s="16" t="s">
        <v>1</v>
      </c>
      <c r="C27" s="16" t="s">
        <v>2</v>
      </c>
      <c r="D27" s="17" t="s">
        <v>3</v>
      </c>
    </row>
    <row r="28" spans="1:4" ht="17.25" customHeight="1" thickBot="1">
      <c r="A28" s="18" t="s">
        <v>30</v>
      </c>
      <c r="B28" s="19" t="s">
        <v>4</v>
      </c>
      <c r="C28" s="20" t="s">
        <v>10</v>
      </c>
      <c r="D28" s="21" t="s">
        <v>36</v>
      </c>
    </row>
    <row r="29" spans="1:4" ht="49.5" customHeight="1" thickBot="1">
      <c r="A29" s="18" t="s">
        <v>31</v>
      </c>
      <c r="B29" s="22" t="s">
        <v>6</v>
      </c>
      <c r="C29" s="20" t="s">
        <v>5</v>
      </c>
      <c r="D29" s="43" t="s">
        <v>23</v>
      </c>
    </row>
    <row r="30" spans="1:4" ht="32.25" thickBot="1">
      <c r="A30" s="18" t="s">
        <v>32</v>
      </c>
      <c r="B30" s="22" t="s">
        <v>11</v>
      </c>
      <c r="C30" s="20" t="s">
        <v>7</v>
      </c>
      <c r="D30" s="44">
        <f>7.39*6597.8*12</f>
        <v>585092.904</v>
      </c>
    </row>
    <row r="31" spans="1:4" ht="16.5" thickBot="1">
      <c r="A31" s="15" t="s">
        <v>0</v>
      </c>
      <c r="B31" s="16" t="s">
        <v>1</v>
      </c>
      <c r="C31" s="16" t="s">
        <v>2</v>
      </c>
      <c r="D31" s="17" t="s">
        <v>3</v>
      </c>
    </row>
    <row r="32" spans="1:4" ht="15" customHeight="1" thickBot="1">
      <c r="A32" s="18" t="s">
        <v>30</v>
      </c>
      <c r="B32" s="19" t="s">
        <v>4</v>
      </c>
      <c r="C32" s="20" t="s">
        <v>10</v>
      </c>
      <c r="D32" s="21" t="s">
        <v>36</v>
      </c>
    </row>
    <row r="33" spans="1:4" ht="32.25" thickBot="1">
      <c r="A33" s="18" t="s">
        <v>31</v>
      </c>
      <c r="B33" s="22" t="s">
        <v>6</v>
      </c>
      <c r="C33" s="20" t="s">
        <v>5</v>
      </c>
      <c r="D33" s="23" t="s">
        <v>20</v>
      </c>
    </row>
    <row r="34" spans="1:4" ht="32.25" thickBot="1">
      <c r="A34" s="18" t="s">
        <v>32</v>
      </c>
      <c r="B34" s="22" t="s">
        <v>11</v>
      </c>
      <c r="C34" s="20" t="s">
        <v>7</v>
      </c>
      <c r="D34" s="38">
        <f>0.17*6597.8*12</f>
        <v>13459.512000000002</v>
      </c>
    </row>
    <row r="35" spans="1:6" ht="16.5" thickBot="1">
      <c r="A35" s="15" t="s">
        <v>0</v>
      </c>
      <c r="B35" s="16" t="s">
        <v>1</v>
      </c>
      <c r="C35" s="16" t="s">
        <v>2</v>
      </c>
      <c r="D35" s="17" t="s">
        <v>3</v>
      </c>
      <c r="F35" s="4"/>
    </row>
    <row r="36" spans="1:4" ht="20.25" customHeight="1" thickBot="1">
      <c r="A36" s="18" t="s">
        <v>30</v>
      </c>
      <c r="B36" s="19" t="s">
        <v>4</v>
      </c>
      <c r="C36" s="20" t="s">
        <v>10</v>
      </c>
      <c r="D36" s="21" t="s">
        <v>36</v>
      </c>
    </row>
    <row r="37" spans="1:4" ht="21" customHeight="1" thickBot="1">
      <c r="A37" s="18" t="s">
        <v>31</v>
      </c>
      <c r="B37" s="22" t="s">
        <v>6</v>
      </c>
      <c r="C37" s="20" t="s">
        <v>5</v>
      </c>
      <c r="D37" s="23" t="s">
        <v>21</v>
      </c>
    </row>
    <row r="38" spans="1:4" ht="32.25" thickBot="1">
      <c r="A38" s="18" t="s">
        <v>32</v>
      </c>
      <c r="B38" s="22" t="s">
        <v>11</v>
      </c>
      <c r="C38" s="20" t="s">
        <v>7</v>
      </c>
      <c r="D38" s="38">
        <f>6.42*6597.8*12</f>
        <v>508294.51200000005</v>
      </c>
    </row>
    <row r="39" spans="1:4" ht="16.5" thickBot="1">
      <c r="A39" s="15" t="s">
        <v>0</v>
      </c>
      <c r="B39" s="16" t="s">
        <v>1</v>
      </c>
      <c r="C39" s="16" t="s">
        <v>2</v>
      </c>
      <c r="D39" s="17" t="s">
        <v>3</v>
      </c>
    </row>
    <row r="40" spans="1:4" ht="21" customHeight="1" thickBot="1">
      <c r="A40" s="18" t="s">
        <v>30</v>
      </c>
      <c r="B40" s="19" t="s">
        <v>4</v>
      </c>
      <c r="C40" s="20" t="s">
        <v>10</v>
      </c>
      <c r="D40" s="21" t="s">
        <v>36</v>
      </c>
    </row>
    <row r="41" spans="1:4" ht="18.75" customHeight="1" thickBot="1">
      <c r="A41" s="18" t="s">
        <v>31</v>
      </c>
      <c r="B41" s="22" t="s">
        <v>6</v>
      </c>
      <c r="C41" s="20" t="s">
        <v>5</v>
      </c>
      <c r="D41" s="23" t="s">
        <v>18</v>
      </c>
    </row>
    <row r="42" spans="1:4" ht="32.25" thickBot="1">
      <c r="A42" s="18" t="s">
        <v>32</v>
      </c>
      <c r="B42" s="22" t="s">
        <v>11</v>
      </c>
      <c r="C42" s="20" t="s">
        <v>7</v>
      </c>
      <c r="D42" s="38">
        <f>1.97*6597.8*12</f>
        <v>155971.99200000003</v>
      </c>
    </row>
    <row r="43" spans="1:4" ht="16.5" thickBot="1">
      <c r="A43" s="15" t="s">
        <v>0</v>
      </c>
      <c r="B43" s="16" t="s">
        <v>1</v>
      </c>
      <c r="C43" s="16" t="s">
        <v>2</v>
      </c>
      <c r="D43" s="17" t="s">
        <v>3</v>
      </c>
    </row>
    <row r="44" spans="1:4" ht="18.75" customHeight="1" thickBot="1">
      <c r="A44" s="18" t="s">
        <v>30</v>
      </c>
      <c r="B44" s="19" t="s">
        <v>4</v>
      </c>
      <c r="C44" s="20" t="s">
        <v>10</v>
      </c>
      <c r="D44" s="21" t="s">
        <v>36</v>
      </c>
    </row>
    <row r="45" spans="1:4" ht="32.25" thickBot="1">
      <c r="A45" s="18" t="s">
        <v>31</v>
      </c>
      <c r="B45" s="22" t="s">
        <v>6</v>
      </c>
      <c r="C45" s="20" t="s">
        <v>5</v>
      </c>
      <c r="D45" s="43" t="s">
        <v>8</v>
      </c>
    </row>
    <row r="46" spans="1:4" ht="32.25" thickBot="1">
      <c r="A46" s="18" t="s">
        <v>32</v>
      </c>
      <c r="B46" s="22" t="s">
        <v>11</v>
      </c>
      <c r="C46" s="20" t="s">
        <v>7</v>
      </c>
      <c r="D46" s="44">
        <v>7536</v>
      </c>
    </row>
    <row r="47" spans="1:4" ht="16.5" thickBot="1">
      <c r="A47" s="15" t="s">
        <v>0</v>
      </c>
      <c r="B47" s="16" t="s">
        <v>1</v>
      </c>
      <c r="C47" s="16" t="s">
        <v>2</v>
      </c>
      <c r="D47" s="17" t="s">
        <v>3</v>
      </c>
    </row>
    <row r="48" spans="1:4" ht="20.25" customHeight="1" thickBot="1">
      <c r="A48" s="18" t="s">
        <v>30</v>
      </c>
      <c r="B48" s="19" t="s">
        <v>4</v>
      </c>
      <c r="C48" s="20" t="s">
        <v>10</v>
      </c>
      <c r="D48" s="21" t="s">
        <v>36</v>
      </c>
    </row>
    <row r="49" spans="1:4" ht="24" customHeight="1" thickBot="1">
      <c r="A49" s="18" t="s">
        <v>31</v>
      </c>
      <c r="B49" s="22" t="s">
        <v>6</v>
      </c>
      <c r="C49" s="20" t="s">
        <v>5</v>
      </c>
      <c r="D49" s="23" t="s">
        <v>17</v>
      </c>
    </row>
    <row r="50" spans="1:4" ht="22.5" customHeight="1" thickBot="1">
      <c r="A50" s="18" t="s">
        <v>32</v>
      </c>
      <c r="B50" s="22" t="s">
        <v>11</v>
      </c>
      <c r="C50" s="20" t="s">
        <v>7</v>
      </c>
      <c r="D50" s="38">
        <f>3.35*6597.8*12</f>
        <v>265231.56</v>
      </c>
    </row>
    <row r="51" spans="1:4" ht="16.5" thickBot="1">
      <c r="A51" s="15" t="s">
        <v>0</v>
      </c>
      <c r="B51" s="16" t="s">
        <v>1</v>
      </c>
      <c r="C51" s="16" t="s">
        <v>2</v>
      </c>
      <c r="D51" s="17" t="s">
        <v>3</v>
      </c>
    </row>
    <row r="52" spans="1:4" ht="20.25" customHeight="1" thickBot="1">
      <c r="A52" s="18" t="s">
        <v>30</v>
      </c>
      <c r="B52" s="19" t="s">
        <v>4</v>
      </c>
      <c r="C52" s="20" t="s">
        <v>10</v>
      </c>
      <c r="D52" s="21" t="s">
        <v>36</v>
      </c>
    </row>
    <row r="53" spans="1:4" ht="33" customHeight="1" thickBot="1">
      <c r="A53" s="18" t="s">
        <v>31</v>
      </c>
      <c r="B53" s="22" t="s">
        <v>6</v>
      </c>
      <c r="C53" s="20" t="s">
        <v>5</v>
      </c>
      <c r="D53" s="23" t="s">
        <v>26</v>
      </c>
    </row>
    <row r="54" spans="1:4" ht="32.25" thickBot="1">
      <c r="A54" s="18" t="s">
        <v>32</v>
      </c>
      <c r="B54" s="22" t="s">
        <v>11</v>
      </c>
      <c r="C54" s="20" t="s">
        <v>7</v>
      </c>
      <c r="D54" s="38">
        <f>0.19*6597.8*12</f>
        <v>15042.984</v>
      </c>
    </row>
    <row r="55" spans="1:4" ht="16.5" thickBot="1">
      <c r="A55" s="15" t="s">
        <v>0</v>
      </c>
      <c r="B55" s="16" t="s">
        <v>1</v>
      </c>
      <c r="C55" s="16" t="s">
        <v>2</v>
      </c>
      <c r="D55" s="17" t="s">
        <v>3</v>
      </c>
    </row>
    <row r="56" spans="1:4" ht="17.25" customHeight="1" thickBot="1">
      <c r="A56" s="18" t="s">
        <v>30</v>
      </c>
      <c r="B56" s="19" t="s">
        <v>4</v>
      </c>
      <c r="C56" s="20" t="s">
        <v>10</v>
      </c>
      <c r="D56" s="21" t="s">
        <v>36</v>
      </c>
    </row>
    <row r="57" spans="1:4" ht="25.5" customHeight="1" thickBot="1">
      <c r="A57" s="18" t="s">
        <v>31</v>
      </c>
      <c r="B57" s="22" t="s">
        <v>6</v>
      </c>
      <c r="C57" s="20" t="s">
        <v>5</v>
      </c>
      <c r="D57" s="23" t="s">
        <v>22</v>
      </c>
    </row>
    <row r="58" spans="1:4" ht="32.25" thickBot="1">
      <c r="A58" s="18" t="s">
        <v>32</v>
      </c>
      <c r="B58" s="22" t="s">
        <v>11</v>
      </c>
      <c r="C58" s="20" t="s">
        <v>7</v>
      </c>
      <c r="D58" s="38">
        <f>1.26*6597.8*12</f>
        <v>99758.736</v>
      </c>
    </row>
    <row r="59" spans="1:4" ht="16.5" thickBot="1">
      <c r="A59" s="15" t="s">
        <v>0</v>
      </c>
      <c r="B59" s="16" t="s">
        <v>1</v>
      </c>
      <c r="C59" s="16" t="s">
        <v>2</v>
      </c>
      <c r="D59" s="17" t="s">
        <v>3</v>
      </c>
    </row>
    <row r="60" spans="1:4" ht="21.75" customHeight="1" thickBot="1">
      <c r="A60" s="18" t="s">
        <v>30</v>
      </c>
      <c r="B60" s="19" t="s">
        <v>4</v>
      </c>
      <c r="C60" s="20" t="s">
        <v>10</v>
      </c>
      <c r="D60" s="21" t="s">
        <v>36</v>
      </c>
    </row>
    <row r="61" spans="1:4" ht="19.5" customHeight="1" thickBot="1">
      <c r="A61" s="18" t="s">
        <v>31</v>
      </c>
      <c r="B61" s="22" t="s">
        <v>6</v>
      </c>
      <c r="C61" s="20" t="s">
        <v>5</v>
      </c>
      <c r="D61" s="23" t="s">
        <v>24</v>
      </c>
    </row>
    <row r="62" spans="1:4" ht="32.25" thickBot="1">
      <c r="A62" s="18" t="s">
        <v>32</v>
      </c>
      <c r="B62" s="22" t="s">
        <v>11</v>
      </c>
      <c r="C62" s="20" t="s">
        <v>7</v>
      </c>
      <c r="D62" s="38">
        <f>0.99*6597.8*12</f>
        <v>78381.864</v>
      </c>
    </row>
    <row r="63" spans="1:4" ht="15.75">
      <c r="A63" s="29"/>
      <c r="B63" s="29"/>
      <c r="C63" s="30"/>
      <c r="D63" s="32"/>
    </row>
    <row r="64" spans="1:4" ht="15.75">
      <c r="A64" s="29"/>
      <c r="B64" s="29" t="s">
        <v>35</v>
      </c>
      <c r="C64" s="30"/>
      <c r="D64" s="32"/>
    </row>
    <row r="65" spans="1:4" ht="15.75" hidden="1">
      <c r="A65" s="29"/>
      <c r="B65" s="29"/>
      <c r="C65" s="30"/>
      <c r="D65" s="31">
        <f>D62+D58+D54+D50+D46+D42+D38+D34+D30+D26+D22+D18+D14+D10+D6</f>
        <v>3253653.6000000006</v>
      </c>
    </row>
    <row r="66" ht="15" hidden="1"/>
    <row r="67" spans="3:4" ht="15.75" hidden="1">
      <c r="C67" s="3" t="s">
        <v>34</v>
      </c>
      <c r="D67" s="31">
        <f>6438.5*38.55/1.18+6438.5*40.16*11/1.18+6397.1*39.41/1.18+6397.1*41*11/1.18+D46</f>
        <v>5286923.920338984</v>
      </c>
    </row>
    <row r="68" ht="15" hidden="1"/>
    <row r="69" ht="15" hidden="1">
      <c r="D69" s="42">
        <f>D65-D67</f>
        <v>-2033270.320338983</v>
      </c>
    </row>
    <row r="70" ht="15" hidden="1"/>
    <row r="72" spans="3:4" ht="15">
      <c r="C72" s="55">
        <f>41*6597.8*12</f>
        <v>3246117.5999999996</v>
      </c>
      <c r="D72" s="47">
        <f>D6+D10+D14+D18+D22+D26+D30+D34+D38+D42+D50+D54+D58+D62</f>
        <v>3246117.6000000006</v>
      </c>
    </row>
  </sheetData>
  <sheetProtection/>
  <mergeCells count="1">
    <mergeCell ref="A1:D1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5"/>
  <sheetViews>
    <sheetView view="pageBreakPreview" zoomScaleSheetLayoutView="100" zoomScalePageLayoutView="0" workbookViewId="0" topLeftCell="A58">
      <selection activeCell="G33" sqref="G33"/>
    </sheetView>
  </sheetViews>
  <sheetFormatPr defaultColWidth="9.140625" defaultRowHeight="15"/>
  <cols>
    <col min="1" max="1" width="7.28125" style="1" bestFit="1" customWidth="1"/>
    <col min="2" max="2" width="56.421875" style="1" customWidth="1"/>
    <col min="3" max="3" width="17.140625" style="3" customWidth="1"/>
    <col min="4" max="4" width="94.140625" style="2" customWidth="1"/>
    <col min="6" max="6" width="13.140625" style="0" customWidth="1"/>
  </cols>
  <sheetData>
    <row r="1" spans="1:4" ht="60.75" customHeight="1">
      <c r="A1" s="45" t="s">
        <v>33</v>
      </c>
      <c r="B1" s="45"/>
      <c r="C1" s="45"/>
      <c r="D1" s="45"/>
    </row>
    <row r="2" spans="1:4" ht="16.5" thickBot="1">
      <c r="A2" s="11"/>
      <c r="B2" s="12" t="s">
        <v>41</v>
      </c>
      <c r="C2" s="13"/>
      <c r="D2" s="14"/>
    </row>
    <row r="3" spans="1:4" ht="16.5" thickBot="1">
      <c r="A3" s="15" t="s">
        <v>0</v>
      </c>
      <c r="B3" s="16" t="s">
        <v>1</v>
      </c>
      <c r="C3" s="16" t="s">
        <v>2</v>
      </c>
      <c r="D3" s="17" t="s">
        <v>3</v>
      </c>
    </row>
    <row r="4" spans="1:4" ht="30" customHeight="1" thickBot="1">
      <c r="A4" s="18" t="s">
        <v>30</v>
      </c>
      <c r="B4" s="19" t="s">
        <v>4</v>
      </c>
      <c r="C4" s="20" t="s">
        <v>10</v>
      </c>
      <c r="D4" s="21" t="s">
        <v>36</v>
      </c>
    </row>
    <row r="5" spans="1:4" ht="35.25" customHeight="1" thickBot="1">
      <c r="A5" s="18" t="s">
        <v>31</v>
      </c>
      <c r="B5" s="22" t="s">
        <v>6</v>
      </c>
      <c r="C5" s="20" t="s">
        <v>5</v>
      </c>
      <c r="D5" s="51" t="s">
        <v>12</v>
      </c>
    </row>
    <row r="6" spans="1:4" ht="26.25" customHeight="1" thickBot="1">
      <c r="A6" s="18" t="s">
        <v>32</v>
      </c>
      <c r="B6" s="22" t="s">
        <v>11</v>
      </c>
      <c r="C6" s="20" t="s">
        <v>7</v>
      </c>
      <c r="D6" s="48">
        <f>2.97*17337.23*12</f>
        <v>617898.8772</v>
      </c>
    </row>
    <row r="7" spans="1:4" ht="16.5" thickBot="1">
      <c r="A7" s="15" t="s">
        <v>0</v>
      </c>
      <c r="B7" s="16" t="s">
        <v>1</v>
      </c>
      <c r="C7" s="16" t="s">
        <v>2</v>
      </c>
      <c r="D7" s="49" t="s">
        <v>3</v>
      </c>
    </row>
    <row r="8" spans="1:4" ht="21" customHeight="1" thickBot="1">
      <c r="A8" s="18" t="s">
        <v>30</v>
      </c>
      <c r="B8" s="19" t="s">
        <v>4</v>
      </c>
      <c r="C8" s="20" t="s">
        <v>10</v>
      </c>
      <c r="D8" s="50" t="s">
        <v>36</v>
      </c>
    </row>
    <row r="9" spans="1:4" ht="25.5" customHeight="1" thickBot="1">
      <c r="A9" s="18" t="s">
        <v>31</v>
      </c>
      <c r="B9" s="22" t="s">
        <v>6</v>
      </c>
      <c r="C9" s="20" t="s">
        <v>5</v>
      </c>
      <c r="D9" s="51" t="s">
        <v>13</v>
      </c>
    </row>
    <row r="10" spans="1:4" ht="32.25" thickBot="1">
      <c r="A10" s="18" t="s">
        <v>32</v>
      </c>
      <c r="B10" s="22" t="s">
        <v>11</v>
      </c>
      <c r="C10" s="20" t="s">
        <v>7</v>
      </c>
      <c r="D10" s="48">
        <f>1.46*17337.23*12</f>
        <v>303748.2696</v>
      </c>
    </row>
    <row r="11" spans="1:4" ht="16.5" thickBot="1">
      <c r="A11" s="15" t="s">
        <v>0</v>
      </c>
      <c r="B11" s="16" t="s">
        <v>1</v>
      </c>
      <c r="C11" s="16" t="s">
        <v>2</v>
      </c>
      <c r="D11" s="49" t="s">
        <v>3</v>
      </c>
    </row>
    <row r="12" spans="1:4" ht="24.75" customHeight="1" thickBot="1">
      <c r="A12" s="18" t="s">
        <v>30</v>
      </c>
      <c r="B12" s="19" t="s">
        <v>4</v>
      </c>
      <c r="C12" s="20" t="s">
        <v>10</v>
      </c>
      <c r="D12" s="50" t="s">
        <v>36</v>
      </c>
    </row>
    <row r="13" spans="1:4" ht="17.25" customHeight="1" thickBot="1">
      <c r="A13" s="18" t="s">
        <v>31</v>
      </c>
      <c r="B13" s="22" t="s">
        <v>6</v>
      </c>
      <c r="C13" s="20" t="s">
        <v>5</v>
      </c>
      <c r="D13" s="51" t="s">
        <v>14</v>
      </c>
    </row>
    <row r="14" spans="1:4" ht="20.25" customHeight="1" thickBot="1">
      <c r="A14" s="18" t="s">
        <v>32</v>
      </c>
      <c r="B14" s="22" t="s">
        <v>11</v>
      </c>
      <c r="C14" s="20" t="s">
        <v>7</v>
      </c>
      <c r="D14" s="48">
        <f>1.91*17337.23*12</f>
        <v>397369.31159999996</v>
      </c>
    </row>
    <row r="15" spans="1:4" ht="16.5" thickBot="1">
      <c r="A15" s="15" t="s">
        <v>0</v>
      </c>
      <c r="B15" s="16" t="s">
        <v>1</v>
      </c>
      <c r="C15" s="16" t="s">
        <v>2</v>
      </c>
      <c r="D15" s="49" t="s">
        <v>3</v>
      </c>
    </row>
    <row r="16" spans="1:4" ht="24" customHeight="1" thickBot="1">
      <c r="A16" s="18" t="s">
        <v>30</v>
      </c>
      <c r="B16" s="19" t="s">
        <v>4</v>
      </c>
      <c r="C16" s="20" t="s">
        <v>10</v>
      </c>
      <c r="D16" s="50" t="s">
        <v>36</v>
      </c>
    </row>
    <row r="17" spans="1:4" ht="24.75" customHeight="1" thickBot="1">
      <c r="A17" s="18" t="s">
        <v>31</v>
      </c>
      <c r="B17" s="22" t="s">
        <v>6</v>
      </c>
      <c r="C17" s="20" t="s">
        <v>5</v>
      </c>
      <c r="D17" s="51" t="s">
        <v>15</v>
      </c>
    </row>
    <row r="18" spans="1:4" ht="32.25" thickBot="1">
      <c r="A18" s="18" t="s">
        <v>32</v>
      </c>
      <c r="B18" s="22" t="s">
        <v>11</v>
      </c>
      <c r="C18" s="20" t="s">
        <v>7</v>
      </c>
      <c r="D18" s="48">
        <f>1.48*17337.23*12</f>
        <v>307909.2048</v>
      </c>
    </row>
    <row r="19" spans="1:4" ht="16.5" thickBot="1">
      <c r="A19" s="15" t="s">
        <v>0</v>
      </c>
      <c r="B19" s="16" t="s">
        <v>1</v>
      </c>
      <c r="C19" s="16" t="s">
        <v>2</v>
      </c>
      <c r="D19" s="49" t="s">
        <v>3</v>
      </c>
    </row>
    <row r="20" spans="1:4" ht="23.25" customHeight="1" thickBot="1">
      <c r="A20" s="18" t="s">
        <v>30</v>
      </c>
      <c r="B20" s="19" t="s">
        <v>4</v>
      </c>
      <c r="C20" s="20" t="s">
        <v>10</v>
      </c>
      <c r="D20" s="50" t="s">
        <v>36</v>
      </c>
    </row>
    <row r="21" spans="1:4" ht="35.25" customHeight="1" thickBot="1">
      <c r="A21" s="18" t="s">
        <v>31</v>
      </c>
      <c r="B21" s="22" t="s">
        <v>6</v>
      </c>
      <c r="C21" s="20" t="s">
        <v>5</v>
      </c>
      <c r="D21" s="51" t="s">
        <v>16</v>
      </c>
    </row>
    <row r="22" spans="1:4" ht="32.25" thickBot="1">
      <c r="A22" s="18" t="s">
        <v>32</v>
      </c>
      <c r="B22" s="22" t="s">
        <v>11</v>
      </c>
      <c r="C22" s="20" t="s">
        <v>7</v>
      </c>
      <c r="D22" s="48">
        <f>0.44*17337.23*12</f>
        <v>91540.5744</v>
      </c>
    </row>
    <row r="23" spans="1:4" ht="16.5" thickBot="1">
      <c r="A23" s="15" t="s">
        <v>0</v>
      </c>
      <c r="B23" s="16" t="s">
        <v>1</v>
      </c>
      <c r="C23" s="16" t="s">
        <v>2</v>
      </c>
      <c r="D23" s="49" t="s">
        <v>3</v>
      </c>
    </row>
    <row r="24" spans="1:4" ht="32.25" thickBot="1">
      <c r="A24" s="18" t="s">
        <v>30</v>
      </c>
      <c r="B24" s="19" t="s">
        <v>4</v>
      </c>
      <c r="C24" s="20" t="s">
        <v>10</v>
      </c>
      <c r="D24" s="50" t="s">
        <v>36</v>
      </c>
    </row>
    <row r="25" spans="1:4" ht="30.75" customHeight="1" thickBot="1">
      <c r="A25" s="18" t="s">
        <v>31</v>
      </c>
      <c r="B25" s="22" t="s">
        <v>6</v>
      </c>
      <c r="C25" s="20" t="s">
        <v>5</v>
      </c>
      <c r="D25" s="51" t="s">
        <v>19</v>
      </c>
    </row>
    <row r="26" spans="1:4" ht="32.25" thickBot="1">
      <c r="A26" s="18" t="s">
        <v>32</v>
      </c>
      <c r="B26" s="22" t="s">
        <v>11</v>
      </c>
      <c r="C26" s="20" t="s">
        <v>7</v>
      </c>
      <c r="D26" s="48">
        <f>6.22*17337.23*12</f>
        <v>1294050.8472</v>
      </c>
    </row>
    <row r="27" spans="1:4" ht="16.5" thickBot="1">
      <c r="A27" s="15" t="s">
        <v>0</v>
      </c>
      <c r="B27" s="16" t="s">
        <v>1</v>
      </c>
      <c r="C27" s="16" t="s">
        <v>2</v>
      </c>
      <c r="D27" s="49" t="s">
        <v>3</v>
      </c>
    </row>
    <row r="28" spans="1:4" ht="27" customHeight="1" thickBot="1">
      <c r="A28" s="18" t="s">
        <v>30</v>
      </c>
      <c r="B28" s="19" t="s">
        <v>4</v>
      </c>
      <c r="C28" s="20" t="s">
        <v>10</v>
      </c>
      <c r="D28" s="50" t="s">
        <v>36</v>
      </c>
    </row>
    <row r="29" spans="1:4" ht="31.5" customHeight="1" thickBot="1">
      <c r="A29" s="18" t="s">
        <v>31</v>
      </c>
      <c r="B29" s="22" t="s">
        <v>6</v>
      </c>
      <c r="C29" s="20" t="s">
        <v>5</v>
      </c>
      <c r="D29" s="51" t="s">
        <v>23</v>
      </c>
    </row>
    <row r="30" spans="1:4" ht="32.25" thickBot="1">
      <c r="A30" s="18" t="s">
        <v>32</v>
      </c>
      <c r="B30" s="22" t="s">
        <v>11</v>
      </c>
      <c r="C30" s="20" t="s">
        <v>7</v>
      </c>
      <c r="D30" s="48">
        <f>5.63*17337.23*12</f>
        <v>1171303.2588</v>
      </c>
    </row>
    <row r="31" spans="1:4" ht="16.5" thickBot="1">
      <c r="A31" s="15" t="s">
        <v>0</v>
      </c>
      <c r="B31" s="16" t="s">
        <v>1</v>
      </c>
      <c r="C31" s="16" t="s">
        <v>2</v>
      </c>
      <c r="D31" s="49" t="s">
        <v>3</v>
      </c>
    </row>
    <row r="32" spans="1:4" ht="24.75" customHeight="1" thickBot="1">
      <c r="A32" s="18" t="s">
        <v>30</v>
      </c>
      <c r="B32" s="19" t="s">
        <v>4</v>
      </c>
      <c r="C32" s="20" t="s">
        <v>10</v>
      </c>
      <c r="D32" s="50" t="s">
        <v>36</v>
      </c>
    </row>
    <row r="33" spans="1:4" ht="28.5" customHeight="1" thickBot="1">
      <c r="A33" s="18" t="s">
        <v>31</v>
      </c>
      <c r="B33" s="22" t="s">
        <v>6</v>
      </c>
      <c r="C33" s="20" t="s">
        <v>5</v>
      </c>
      <c r="D33" s="51" t="s">
        <v>20</v>
      </c>
    </row>
    <row r="34" spans="1:4" ht="25.5" customHeight="1" thickBot="1">
      <c r="A34" s="18" t="s">
        <v>32</v>
      </c>
      <c r="B34" s="22" t="s">
        <v>11</v>
      </c>
      <c r="C34" s="20" t="s">
        <v>7</v>
      </c>
      <c r="D34" s="48">
        <f>0.17*17337.23*12</f>
        <v>35367.9492</v>
      </c>
    </row>
    <row r="35" spans="1:6" ht="16.5" thickBot="1">
      <c r="A35" s="15" t="s">
        <v>0</v>
      </c>
      <c r="B35" s="16" t="s">
        <v>1</v>
      </c>
      <c r="C35" s="16" t="s">
        <v>2</v>
      </c>
      <c r="D35" s="49" t="s">
        <v>3</v>
      </c>
      <c r="F35" s="4"/>
    </row>
    <row r="36" spans="1:4" ht="27.75" customHeight="1" thickBot="1">
      <c r="A36" s="18" t="s">
        <v>30</v>
      </c>
      <c r="B36" s="19" t="s">
        <v>4</v>
      </c>
      <c r="C36" s="20" t="s">
        <v>10</v>
      </c>
      <c r="D36" s="50" t="s">
        <v>36</v>
      </c>
    </row>
    <row r="37" spans="1:4" ht="32.25" customHeight="1" thickBot="1">
      <c r="A37" s="18" t="s">
        <v>31</v>
      </c>
      <c r="B37" s="22" t="s">
        <v>6</v>
      </c>
      <c r="C37" s="20" t="s">
        <v>5</v>
      </c>
      <c r="D37" s="51" t="s">
        <v>21</v>
      </c>
    </row>
    <row r="38" spans="1:4" ht="27" customHeight="1" thickBot="1">
      <c r="A38" s="18" t="s">
        <v>32</v>
      </c>
      <c r="B38" s="22" t="s">
        <v>11</v>
      </c>
      <c r="C38" s="20" t="s">
        <v>7</v>
      </c>
      <c r="D38" s="48">
        <f>6.42*17337.23*12</f>
        <v>1335660.1992000001</v>
      </c>
    </row>
    <row r="39" spans="1:4" ht="16.5" thickBot="1">
      <c r="A39" s="15" t="s">
        <v>0</v>
      </c>
      <c r="B39" s="16" t="s">
        <v>1</v>
      </c>
      <c r="C39" s="16" t="s">
        <v>2</v>
      </c>
      <c r="D39" s="49" t="s">
        <v>3</v>
      </c>
    </row>
    <row r="40" spans="1:4" ht="25.5" customHeight="1" thickBot="1">
      <c r="A40" s="18" t="s">
        <v>30</v>
      </c>
      <c r="B40" s="19" t="s">
        <v>4</v>
      </c>
      <c r="C40" s="20" t="s">
        <v>10</v>
      </c>
      <c r="D40" s="50" t="s">
        <v>36</v>
      </c>
    </row>
    <row r="41" spans="1:4" ht="26.25" customHeight="1" thickBot="1">
      <c r="A41" s="18" t="s">
        <v>31</v>
      </c>
      <c r="B41" s="22" t="s">
        <v>6</v>
      </c>
      <c r="C41" s="20" t="s">
        <v>5</v>
      </c>
      <c r="D41" s="51" t="s">
        <v>18</v>
      </c>
    </row>
    <row r="42" spans="1:4" ht="27" customHeight="1" thickBot="1">
      <c r="A42" s="18" t="s">
        <v>32</v>
      </c>
      <c r="B42" s="22" t="s">
        <v>11</v>
      </c>
      <c r="C42" s="20" t="s">
        <v>7</v>
      </c>
      <c r="D42" s="48">
        <f>1.97*17337.23*12</f>
        <v>409852.1172</v>
      </c>
    </row>
    <row r="43" spans="1:4" ht="27" customHeight="1" thickBot="1">
      <c r="A43" s="15" t="s">
        <v>0</v>
      </c>
      <c r="B43" s="16" t="s">
        <v>1</v>
      </c>
      <c r="C43" s="16" t="s">
        <v>2</v>
      </c>
      <c r="D43" s="49" t="s">
        <v>3</v>
      </c>
    </row>
    <row r="44" spans="1:4" ht="26.25" customHeight="1" thickBot="1">
      <c r="A44" s="18" t="s">
        <v>30</v>
      </c>
      <c r="B44" s="19" t="s">
        <v>4</v>
      </c>
      <c r="C44" s="20" t="s">
        <v>10</v>
      </c>
      <c r="D44" s="50" t="s">
        <v>36</v>
      </c>
    </row>
    <row r="45" spans="1:4" ht="22.5" customHeight="1" thickBot="1">
      <c r="A45" s="18" t="s">
        <v>31</v>
      </c>
      <c r="B45" s="22" t="s">
        <v>6</v>
      </c>
      <c r="C45" s="20" t="s">
        <v>5</v>
      </c>
      <c r="D45" s="51" t="s">
        <v>8</v>
      </c>
    </row>
    <row r="46" spans="1:4" ht="32.25" thickBot="1">
      <c r="A46" s="18" t="s">
        <v>32</v>
      </c>
      <c r="B46" s="22" t="s">
        <v>11</v>
      </c>
      <c r="C46" s="20" t="s">
        <v>7</v>
      </c>
      <c r="D46" s="48">
        <f>4794.43</f>
        <v>4794.43</v>
      </c>
    </row>
    <row r="47" spans="1:4" ht="16.5" thickBot="1">
      <c r="A47" s="15" t="s">
        <v>0</v>
      </c>
      <c r="B47" s="16" t="s">
        <v>1</v>
      </c>
      <c r="C47" s="16" t="s">
        <v>2</v>
      </c>
      <c r="D47" s="49" t="s">
        <v>3</v>
      </c>
    </row>
    <row r="48" spans="1:4" ht="32.25" thickBot="1">
      <c r="A48" s="18" t="s">
        <v>30</v>
      </c>
      <c r="B48" s="19" t="s">
        <v>4</v>
      </c>
      <c r="C48" s="20" t="s">
        <v>10</v>
      </c>
      <c r="D48" s="50" t="s">
        <v>36</v>
      </c>
    </row>
    <row r="49" spans="1:4" ht="24.75" customHeight="1" thickBot="1">
      <c r="A49" s="18" t="s">
        <v>31</v>
      </c>
      <c r="B49" s="22" t="s">
        <v>6</v>
      </c>
      <c r="C49" s="20" t="s">
        <v>5</v>
      </c>
      <c r="D49" s="51" t="s">
        <v>17</v>
      </c>
    </row>
    <row r="50" spans="1:4" ht="22.5" customHeight="1" thickBot="1">
      <c r="A50" s="18" t="s">
        <v>32</v>
      </c>
      <c r="B50" s="22" t="s">
        <v>11</v>
      </c>
      <c r="C50" s="20" t="s">
        <v>7</v>
      </c>
      <c r="D50" s="48">
        <f>3.35*17337.23*12</f>
        <v>696956.6460000001</v>
      </c>
    </row>
    <row r="51" spans="1:4" ht="16.5" thickBot="1">
      <c r="A51" s="15" t="s">
        <v>0</v>
      </c>
      <c r="B51" s="16" t="s">
        <v>1</v>
      </c>
      <c r="C51" s="16" t="s">
        <v>2</v>
      </c>
      <c r="D51" s="49" t="s">
        <v>3</v>
      </c>
    </row>
    <row r="52" spans="1:4" ht="32.25" thickBot="1">
      <c r="A52" s="18" t="s">
        <v>30</v>
      </c>
      <c r="B52" s="19" t="s">
        <v>4</v>
      </c>
      <c r="C52" s="20" t="s">
        <v>10</v>
      </c>
      <c r="D52" s="50" t="s">
        <v>36</v>
      </c>
    </row>
    <row r="53" spans="1:4" ht="34.5" customHeight="1" thickBot="1">
      <c r="A53" s="18" t="s">
        <v>31</v>
      </c>
      <c r="B53" s="22" t="s">
        <v>6</v>
      </c>
      <c r="C53" s="20" t="s">
        <v>5</v>
      </c>
      <c r="D53" s="51" t="s">
        <v>26</v>
      </c>
    </row>
    <row r="54" spans="1:4" ht="24.75" customHeight="1" thickBot="1">
      <c r="A54" s="18" t="s">
        <v>32</v>
      </c>
      <c r="B54" s="22" t="s">
        <v>11</v>
      </c>
      <c r="C54" s="20" t="s">
        <v>7</v>
      </c>
      <c r="D54" s="48">
        <f>0.19*17337.23*12</f>
        <v>39528.884399999995</v>
      </c>
    </row>
    <row r="55" spans="1:4" ht="16.5" thickBot="1">
      <c r="A55" s="15" t="s">
        <v>0</v>
      </c>
      <c r="B55" s="16" t="s">
        <v>1</v>
      </c>
      <c r="C55" s="16" t="s">
        <v>2</v>
      </c>
      <c r="D55" s="49" t="s">
        <v>3</v>
      </c>
    </row>
    <row r="56" spans="1:4" ht="27" customHeight="1" thickBot="1">
      <c r="A56" s="18" t="s">
        <v>30</v>
      </c>
      <c r="B56" s="19" t="s">
        <v>4</v>
      </c>
      <c r="C56" s="20" t="s">
        <v>10</v>
      </c>
      <c r="D56" s="50" t="s">
        <v>36</v>
      </c>
    </row>
    <row r="57" spans="1:4" ht="30" customHeight="1" thickBot="1">
      <c r="A57" s="18" t="s">
        <v>31</v>
      </c>
      <c r="B57" s="22" t="s">
        <v>6</v>
      </c>
      <c r="C57" s="20" t="s">
        <v>5</v>
      </c>
      <c r="D57" s="51" t="s">
        <v>22</v>
      </c>
    </row>
    <row r="58" spans="1:4" ht="24.75" customHeight="1" thickBot="1">
      <c r="A58" s="18" t="s">
        <v>32</v>
      </c>
      <c r="B58" s="22" t="s">
        <v>11</v>
      </c>
      <c r="C58" s="20" t="s">
        <v>7</v>
      </c>
      <c r="D58" s="48">
        <f>1.26*17337.23*12</f>
        <v>262138.91760000002</v>
      </c>
    </row>
    <row r="59" spans="1:4" ht="16.5" thickBot="1">
      <c r="A59" s="15" t="s">
        <v>0</v>
      </c>
      <c r="B59" s="16" t="s">
        <v>1</v>
      </c>
      <c r="C59" s="16" t="s">
        <v>2</v>
      </c>
      <c r="D59" s="49" t="s">
        <v>3</v>
      </c>
    </row>
    <row r="60" spans="1:4" ht="30.75" customHeight="1" thickBot="1">
      <c r="A60" s="18" t="s">
        <v>30</v>
      </c>
      <c r="B60" s="19" t="s">
        <v>4</v>
      </c>
      <c r="C60" s="20" t="s">
        <v>10</v>
      </c>
      <c r="D60" s="50" t="s">
        <v>36</v>
      </c>
    </row>
    <row r="61" spans="1:4" ht="33" customHeight="1" thickBot="1">
      <c r="A61" s="18" t="s">
        <v>31</v>
      </c>
      <c r="B61" s="22" t="s">
        <v>6</v>
      </c>
      <c r="C61" s="20" t="s">
        <v>5</v>
      </c>
      <c r="D61" s="51" t="s">
        <v>24</v>
      </c>
    </row>
    <row r="62" spans="1:4" ht="24.75" customHeight="1" thickBot="1">
      <c r="A62" s="18" t="s">
        <v>32</v>
      </c>
      <c r="B62" s="22" t="s">
        <v>11</v>
      </c>
      <c r="C62" s="20" t="s">
        <v>7</v>
      </c>
      <c r="D62" s="48">
        <f>0.4*17337.23*12</f>
        <v>83218.704</v>
      </c>
    </row>
    <row r="63" spans="1:4" ht="16.5" thickBot="1">
      <c r="A63" s="15" t="s">
        <v>0</v>
      </c>
      <c r="B63" s="16" t="s">
        <v>1</v>
      </c>
      <c r="C63" s="16" t="s">
        <v>2</v>
      </c>
      <c r="D63" s="49" t="s">
        <v>3</v>
      </c>
    </row>
    <row r="64" spans="1:4" ht="26.25" customHeight="1" thickBot="1">
      <c r="A64" s="18" t="s">
        <v>30</v>
      </c>
      <c r="B64" s="19" t="s">
        <v>4</v>
      </c>
      <c r="C64" s="20" t="s">
        <v>10</v>
      </c>
      <c r="D64" s="50" t="s">
        <v>36</v>
      </c>
    </row>
    <row r="65" spans="1:4" ht="29.25" customHeight="1" thickBot="1">
      <c r="A65" s="18" t="s">
        <v>31</v>
      </c>
      <c r="B65" s="22" t="s">
        <v>6</v>
      </c>
      <c r="C65" s="20" t="s">
        <v>5</v>
      </c>
      <c r="D65" s="51" t="s">
        <v>28</v>
      </c>
    </row>
    <row r="66" spans="1:4" ht="30.75" customHeight="1" thickBot="1">
      <c r="A66" s="18" t="s">
        <v>32</v>
      </c>
      <c r="B66" s="22" t="s">
        <v>11</v>
      </c>
      <c r="C66" s="20" t="s">
        <v>7</v>
      </c>
      <c r="D66" s="48">
        <f>0.92*17337.23*12</f>
        <v>191403.01919999998</v>
      </c>
    </row>
    <row r="67" spans="1:4" ht="15.75">
      <c r="A67" s="33"/>
      <c r="B67" s="34"/>
      <c r="C67" s="35"/>
      <c r="D67" s="36"/>
    </row>
    <row r="68" spans="1:4" ht="15.75">
      <c r="A68" s="29"/>
      <c r="B68" s="29" t="s">
        <v>35</v>
      </c>
      <c r="C68" s="30"/>
      <c r="D68" s="32"/>
    </row>
    <row r="69" spans="1:4" ht="15.75" hidden="1">
      <c r="A69" s="29"/>
      <c r="B69" s="29"/>
      <c r="C69" s="30"/>
      <c r="D69" s="31">
        <f>D62+D58+D54+D50+D46+D42+D38+D34+D30+D26+D22+D18+D14+D10+D6+D66</f>
        <v>7242741.210400001</v>
      </c>
    </row>
    <row r="70" ht="15" hidden="1"/>
    <row r="71" spans="3:4" ht="15.75" hidden="1">
      <c r="C71" s="3" t="s">
        <v>34</v>
      </c>
      <c r="D71" s="31">
        <f>17337.23*33.91/1.18+17337.23*34.79*11/1.18+D46</f>
        <v>6125718.174067797</v>
      </c>
    </row>
    <row r="72" ht="15" hidden="1"/>
    <row r="73" ht="15" hidden="1"/>
    <row r="75" spans="3:4" ht="15">
      <c r="C75" s="55">
        <f>34.79*17337.23*12</f>
        <v>7237946.7804000005</v>
      </c>
      <c r="D75" s="47">
        <f>D6+D10+D14+D18+D22+D26+D30+D34+D38+D42+D50+D54+D58+D62+D66</f>
        <v>7237946.7804000005</v>
      </c>
    </row>
  </sheetData>
  <sheetProtection/>
  <mergeCells count="1">
    <mergeCell ref="A1:D1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9"/>
  <sheetViews>
    <sheetView view="pageBreakPreview" zoomScaleSheetLayoutView="100" zoomScalePageLayoutView="0" workbookViewId="0" topLeftCell="A61">
      <selection activeCell="G18" sqref="G18"/>
    </sheetView>
  </sheetViews>
  <sheetFormatPr defaultColWidth="9.140625" defaultRowHeight="15"/>
  <cols>
    <col min="1" max="1" width="7.28125" style="1" bestFit="1" customWidth="1"/>
    <col min="2" max="2" width="52.28125" style="1" customWidth="1"/>
    <col min="3" max="3" width="13.140625" style="3" customWidth="1"/>
    <col min="4" max="4" width="90.8515625" style="2" customWidth="1"/>
    <col min="6" max="6" width="13.140625" style="0" customWidth="1"/>
  </cols>
  <sheetData>
    <row r="1" spans="1:4" ht="34.5" customHeight="1">
      <c r="A1" s="45" t="s">
        <v>33</v>
      </c>
      <c r="B1" s="45"/>
      <c r="C1" s="45"/>
      <c r="D1" s="45"/>
    </row>
    <row r="2" spans="1:4" ht="24.75" customHeight="1" thickBot="1">
      <c r="A2" s="11"/>
      <c r="B2" s="12" t="s">
        <v>42</v>
      </c>
      <c r="C2" s="13"/>
      <c r="D2" s="14"/>
    </row>
    <row r="3" spans="1:4" ht="16.5" thickBot="1">
      <c r="A3" s="15" t="s">
        <v>0</v>
      </c>
      <c r="B3" s="16" t="s">
        <v>1</v>
      </c>
      <c r="C3" s="16" t="s">
        <v>2</v>
      </c>
      <c r="D3" s="17" t="s">
        <v>3</v>
      </c>
    </row>
    <row r="4" spans="1:4" ht="25.5" customHeight="1" thickBot="1">
      <c r="A4" s="18" t="s">
        <v>30</v>
      </c>
      <c r="B4" s="19" t="s">
        <v>4</v>
      </c>
      <c r="C4" s="20" t="s">
        <v>10</v>
      </c>
      <c r="D4" s="21" t="s">
        <v>36</v>
      </c>
    </row>
    <row r="5" spans="1:4" ht="25.5" customHeight="1" thickBot="1">
      <c r="A5" s="18" t="s">
        <v>31</v>
      </c>
      <c r="B5" s="22" t="s">
        <v>6</v>
      </c>
      <c r="C5" s="20" t="s">
        <v>5</v>
      </c>
      <c r="D5" s="51" t="s">
        <v>12</v>
      </c>
    </row>
    <row r="6" spans="1:4" ht="25.5" customHeight="1" thickBot="1">
      <c r="A6" s="18" t="s">
        <v>32</v>
      </c>
      <c r="B6" s="22" t="s">
        <v>11</v>
      </c>
      <c r="C6" s="20" t="s">
        <v>7</v>
      </c>
      <c r="D6" s="48">
        <f>3.19*76150.87*12</f>
        <v>2915055.3035999998</v>
      </c>
    </row>
    <row r="7" spans="1:4" ht="16.5" thickBot="1">
      <c r="A7" s="15" t="s">
        <v>0</v>
      </c>
      <c r="B7" s="16" t="s">
        <v>1</v>
      </c>
      <c r="C7" s="16" t="s">
        <v>2</v>
      </c>
      <c r="D7" s="49" t="s">
        <v>3</v>
      </c>
    </row>
    <row r="8" spans="1:4" ht="31.5" customHeight="1" thickBot="1">
      <c r="A8" s="18" t="s">
        <v>30</v>
      </c>
      <c r="B8" s="19" t="s">
        <v>4</v>
      </c>
      <c r="C8" s="20" t="s">
        <v>10</v>
      </c>
      <c r="D8" s="50" t="s">
        <v>36</v>
      </c>
    </row>
    <row r="9" spans="1:4" ht="30" customHeight="1" thickBot="1">
      <c r="A9" s="18" t="s">
        <v>31</v>
      </c>
      <c r="B9" s="22" t="s">
        <v>6</v>
      </c>
      <c r="C9" s="20" t="s">
        <v>5</v>
      </c>
      <c r="D9" s="51" t="s">
        <v>13</v>
      </c>
    </row>
    <row r="10" spans="1:4" ht="24.75" customHeight="1" thickBot="1">
      <c r="A10" s="18" t="s">
        <v>32</v>
      </c>
      <c r="B10" s="22" t="s">
        <v>11</v>
      </c>
      <c r="C10" s="20" t="s">
        <v>7</v>
      </c>
      <c r="D10" s="48">
        <f>1.33*76150.87*12</f>
        <v>1215367.8852</v>
      </c>
    </row>
    <row r="11" spans="1:4" ht="16.5" thickBot="1">
      <c r="A11" s="15" t="s">
        <v>0</v>
      </c>
      <c r="B11" s="16" t="s">
        <v>1</v>
      </c>
      <c r="C11" s="16" t="s">
        <v>2</v>
      </c>
      <c r="D11" s="49" t="s">
        <v>3</v>
      </c>
    </row>
    <row r="12" spans="1:4" ht="27" customHeight="1" thickBot="1">
      <c r="A12" s="18" t="s">
        <v>30</v>
      </c>
      <c r="B12" s="19" t="s">
        <v>4</v>
      </c>
      <c r="C12" s="20" t="s">
        <v>10</v>
      </c>
      <c r="D12" s="50" t="s">
        <v>36</v>
      </c>
    </row>
    <row r="13" spans="1:4" ht="27" customHeight="1" thickBot="1">
      <c r="A13" s="18" t="s">
        <v>31</v>
      </c>
      <c r="B13" s="22" t="s">
        <v>6</v>
      </c>
      <c r="C13" s="20" t="s">
        <v>5</v>
      </c>
      <c r="D13" s="51" t="s">
        <v>14</v>
      </c>
    </row>
    <row r="14" spans="1:4" ht="24.75" customHeight="1" thickBot="1">
      <c r="A14" s="18" t="s">
        <v>32</v>
      </c>
      <c r="B14" s="22" t="s">
        <v>11</v>
      </c>
      <c r="C14" s="20" t="s">
        <v>7</v>
      </c>
      <c r="D14" s="48">
        <f>1.46*76150.87*12</f>
        <v>1334163.2423999999</v>
      </c>
    </row>
    <row r="15" spans="1:4" ht="16.5" thickBot="1">
      <c r="A15" s="15" t="s">
        <v>0</v>
      </c>
      <c r="B15" s="16" t="s">
        <v>1</v>
      </c>
      <c r="C15" s="16" t="s">
        <v>2</v>
      </c>
      <c r="D15" s="49" t="s">
        <v>3</v>
      </c>
    </row>
    <row r="16" spans="1:4" ht="30.75" customHeight="1" thickBot="1">
      <c r="A16" s="18" t="s">
        <v>30</v>
      </c>
      <c r="B16" s="19" t="s">
        <v>4</v>
      </c>
      <c r="C16" s="20" t="s">
        <v>10</v>
      </c>
      <c r="D16" s="50" t="s">
        <v>36</v>
      </c>
    </row>
    <row r="17" spans="1:4" ht="24.75" customHeight="1" thickBot="1">
      <c r="A17" s="18" t="s">
        <v>31</v>
      </c>
      <c r="B17" s="22" t="s">
        <v>6</v>
      </c>
      <c r="C17" s="20" t="s">
        <v>5</v>
      </c>
      <c r="D17" s="51" t="s">
        <v>15</v>
      </c>
    </row>
    <row r="18" spans="1:4" ht="26.25" customHeight="1" thickBot="1">
      <c r="A18" s="18" t="s">
        <v>32</v>
      </c>
      <c r="B18" s="22" t="s">
        <v>11</v>
      </c>
      <c r="C18" s="20" t="s">
        <v>7</v>
      </c>
      <c r="D18" s="48">
        <f>0.83*76150.87*12</f>
        <v>758462.6651999999</v>
      </c>
    </row>
    <row r="19" spans="1:4" ht="16.5" thickBot="1">
      <c r="A19" s="15" t="s">
        <v>0</v>
      </c>
      <c r="B19" s="16" t="s">
        <v>1</v>
      </c>
      <c r="C19" s="16" t="s">
        <v>2</v>
      </c>
      <c r="D19" s="49" t="s">
        <v>3</v>
      </c>
    </row>
    <row r="20" spans="1:4" ht="32.25" thickBot="1">
      <c r="A20" s="18" t="s">
        <v>30</v>
      </c>
      <c r="B20" s="19" t="s">
        <v>4</v>
      </c>
      <c r="C20" s="20" t="s">
        <v>10</v>
      </c>
      <c r="D20" s="50" t="s">
        <v>36</v>
      </c>
    </row>
    <row r="21" spans="1:4" ht="33" customHeight="1" thickBot="1">
      <c r="A21" s="18" t="s">
        <v>31</v>
      </c>
      <c r="B21" s="22" t="s">
        <v>6</v>
      </c>
      <c r="C21" s="20" t="s">
        <v>5</v>
      </c>
      <c r="D21" s="51" t="s">
        <v>16</v>
      </c>
    </row>
    <row r="22" spans="1:4" ht="32.25" thickBot="1">
      <c r="A22" s="18" t="s">
        <v>32</v>
      </c>
      <c r="B22" s="22" t="s">
        <v>11</v>
      </c>
      <c r="C22" s="20" t="s">
        <v>7</v>
      </c>
      <c r="D22" s="48">
        <f>0.44*76150.87*12</f>
        <v>402076.5936</v>
      </c>
    </row>
    <row r="23" spans="1:4" ht="16.5" thickBot="1">
      <c r="A23" s="15" t="s">
        <v>0</v>
      </c>
      <c r="B23" s="16" t="s">
        <v>1</v>
      </c>
      <c r="C23" s="16" t="s">
        <v>2</v>
      </c>
      <c r="D23" s="49" t="s">
        <v>3</v>
      </c>
    </row>
    <row r="24" spans="1:4" ht="21" customHeight="1" thickBot="1">
      <c r="A24" s="18" t="s">
        <v>30</v>
      </c>
      <c r="B24" s="19" t="s">
        <v>4</v>
      </c>
      <c r="C24" s="20" t="s">
        <v>10</v>
      </c>
      <c r="D24" s="50" t="s">
        <v>36</v>
      </c>
    </row>
    <row r="25" spans="1:4" ht="23.25" customHeight="1" thickBot="1">
      <c r="A25" s="18" t="s">
        <v>31</v>
      </c>
      <c r="B25" s="22" t="s">
        <v>6</v>
      </c>
      <c r="C25" s="20" t="s">
        <v>5</v>
      </c>
      <c r="D25" s="51" t="s">
        <v>19</v>
      </c>
    </row>
    <row r="26" spans="1:4" ht="32.25" thickBot="1">
      <c r="A26" s="18" t="s">
        <v>32</v>
      </c>
      <c r="B26" s="22" t="s">
        <v>11</v>
      </c>
      <c r="C26" s="20" t="s">
        <v>7</v>
      </c>
      <c r="D26" s="48">
        <f>6.29*76150.87*12</f>
        <v>5747867.667599999</v>
      </c>
    </row>
    <row r="27" spans="1:4" ht="16.5" thickBot="1">
      <c r="A27" s="15" t="s">
        <v>0</v>
      </c>
      <c r="B27" s="16" t="s">
        <v>1</v>
      </c>
      <c r="C27" s="16" t="s">
        <v>2</v>
      </c>
      <c r="D27" s="49" t="s">
        <v>3</v>
      </c>
    </row>
    <row r="28" spans="1:4" ht="30" customHeight="1" thickBot="1">
      <c r="A28" s="18" t="s">
        <v>30</v>
      </c>
      <c r="B28" s="19" t="s">
        <v>4</v>
      </c>
      <c r="C28" s="20" t="s">
        <v>10</v>
      </c>
      <c r="D28" s="50" t="s">
        <v>36</v>
      </c>
    </row>
    <row r="29" spans="1:4" ht="33" customHeight="1" thickBot="1">
      <c r="A29" s="18" t="s">
        <v>31</v>
      </c>
      <c r="B29" s="22" t="s">
        <v>6</v>
      </c>
      <c r="C29" s="20" t="s">
        <v>5</v>
      </c>
      <c r="D29" s="51" t="s">
        <v>23</v>
      </c>
    </row>
    <row r="30" spans="1:4" ht="32.25" thickBot="1">
      <c r="A30" s="18" t="s">
        <v>32</v>
      </c>
      <c r="B30" s="22" t="s">
        <v>11</v>
      </c>
      <c r="C30" s="20" t="s">
        <v>7</v>
      </c>
      <c r="D30" s="48">
        <f>5.97*76150.87*12</f>
        <v>5455448.3268</v>
      </c>
    </row>
    <row r="31" spans="1:4" ht="16.5" thickBot="1">
      <c r="A31" s="15" t="s">
        <v>0</v>
      </c>
      <c r="B31" s="16" t="s">
        <v>1</v>
      </c>
      <c r="C31" s="16" t="s">
        <v>2</v>
      </c>
      <c r="D31" s="49" t="s">
        <v>3</v>
      </c>
    </row>
    <row r="32" spans="1:4" ht="27" customHeight="1" thickBot="1">
      <c r="A32" s="18" t="s">
        <v>30</v>
      </c>
      <c r="B32" s="19" t="s">
        <v>4</v>
      </c>
      <c r="C32" s="20" t="s">
        <v>10</v>
      </c>
      <c r="D32" s="50" t="s">
        <v>36</v>
      </c>
    </row>
    <row r="33" spans="1:4" ht="30" customHeight="1" thickBot="1">
      <c r="A33" s="18" t="s">
        <v>31</v>
      </c>
      <c r="B33" s="22" t="s">
        <v>6</v>
      </c>
      <c r="C33" s="20" t="s">
        <v>5</v>
      </c>
      <c r="D33" s="51" t="s">
        <v>20</v>
      </c>
    </row>
    <row r="34" spans="1:4" ht="27" customHeight="1" thickBot="1">
      <c r="A34" s="18" t="s">
        <v>32</v>
      </c>
      <c r="B34" s="22" t="s">
        <v>11</v>
      </c>
      <c r="C34" s="20" t="s">
        <v>7</v>
      </c>
      <c r="D34" s="48">
        <f>0.17*76150.87*12</f>
        <v>155347.7748</v>
      </c>
    </row>
    <row r="35" spans="1:6" ht="16.5" thickBot="1">
      <c r="A35" s="15" t="s">
        <v>0</v>
      </c>
      <c r="B35" s="16" t="s">
        <v>1</v>
      </c>
      <c r="C35" s="16" t="s">
        <v>2</v>
      </c>
      <c r="D35" s="49" t="s">
        <v>3</v>
      </c>
      <c r="F35" s="4"/>
    </row>
    <row r="36" spans="1:4" ht="32.25" thickBot="1">
      <c r="A36" s="18" t="s">
        <v>30</v>
      </c>
      <c r="B36" s="19" t="s">
        <v>4</v>
      </c>
      <c r="C36" s="20" t="s">
        <v>10</v>
      </c>
      <c r="D36" s="50" t="s">
        <v>36</v>
      </c>
    </row>
    <row r="37" spans="1:4" ht="22.5" customHeight="1" thickBot="1">
      <c r="A37" s="18" t="s">
        <v>31</v>
      </c>
      <c r="B37" s="22" t="s">
        <v>6</v>
      </c>
      <c r="C37" s="20" t="s">
        <v>5</v>
      </c>
      <c r="D37" s="51" t="s">
        <v>21</v>
      </c>
    </row>
    <row r="38" spans="1:4" ht="24.75" customHeight="1" thickBot="1">
      <c r="A38" s="18" t="s">
        <v>32</v>
      </c>
      <c r="B38" s="22" t="s">
        <v>11</v>
      </c>
      <c r="C38" s="20" t="s">
        <v>7</v>
      </c>
      <c r="D38" s="48">
        <f>6.42*76150.87*12</f>
        <v>5866663.0248</v>
      </c>
    </row>
    <row r="39" spans="1:4" ht="16.5" thickBot="1">
      <c r="A39" s="15" t="s">
        <v>0</v>
      </c>
      <c r="B39" s="16" t="s">
        <v>1</v>
      </c>
      <c r="C39" s="16" t="s">
        <v>2</v>
      </c>
      <c r="D39" s="49" t="s">
        <v>3</v>
      </c>
    </row>
    <row r="40" spans="1:4" ht="18" customHeight="1" thickBot="1">
      <c r="A40" s="18" t="s">
        <v>30</v>
      </c>
      <c r="B40" s="19" t="s">
        <v>4</v>
      </c>
      <c r="C40" s="20" t="s">
        <v>10</v>
      </c>
      <c r="D40" s="50" t="s">
        <v>36</v>
      </c>
    </row>
    <row r="41" spans="1:4" ht="32.25" thickBot="1">
      <c r="A41" s="18" t="s">
        <v>31</v>
      </c>
      <c r="B41" s="22" t="s">
        <v>6</v>
      </c>
      <c r="C41" s="20" t="s">
        <v>5</v>
      </c>
      <c r="D41" s="51" t="s">
        <v>18</v>
      </c>
    </row>
    <row r="42" spans="1:4" ht="26.25" customHeight="1" thickBot="1">
      <c r="A42" s="18" t="s">
        <v>32</v>
      </c>
      <c r="B42" s="22" t="s">
        <v>11</v>
      </c>
      <c r="C42" s="20" t="s">
        <v>7</v>
      </c>
      <c r="D42" s="48">
        <f>1.97*76150.87*12</f>
        <v>1800206.5668000001</v>
      </c>
    </row>
    <row r="43" spans="1:4" ht="16.5" thickBot="1">
      <c r="A43" s="15" t="s">
        <v>0</v>
      </c>
      <c r="B43" s="16" t="s">
        <v>1</v>
      </c>
      <c r="C43" s="16" t="s">
        <v>2</v>
      </c>
      <c r="D43" s="49" t="s">
        <v>3</v>
      </c>
    </row>
    <row r="44" spans="1:4" ht="26.25" customHeight="1" thickBot="1">
      <c r="A44" s="18" t="s">
        <v>30</v>
      </c>
      <c r="B44" s="19" t="s">
        <v>4</v>
      </c>
      <c r="C44" s="20" t="s">
        <v>10</v>
      </c>
      <c r="D44" s="50" t="s">
        <v>36</v>
      </c>
    </row>
    <row r="45" spans="1:4" ht="28.5" customHeight="1" thickBot="1">
      <c r="A45" s="18" t="s">
        <v>31</v>
      </c>
      <c r="B45" s="22" t="s">
        <v>6</v>
      </c>
      <c r="C45" s="20" t="s">
        <v>5</v>
      </c>
      <c r="D45" s="51" t="s">
        <v>8</v>
      </c>
    </row>
    <row r="46" spans="1:4" ht="32.25" thickBot="1">
      <c r="A46" s="18" t="s">
        <v>32</v>
      </c>
      <c r="B46" s="22" t="s">
        <v>11</v>
      </c>
      <c r="C46" s="20" t="s">
        <v>7</v>
      </c>
      <c r="D46" s="48">
        <f>11649.6</f>
        <v>11649.6</v>
      </c>
    </row>
    <row r="47" spans="1:4" ht="16.5" thickBot="1">
      <c r="A47" s="15" t="s">
        <v>0</v>
      </c>
      <c r="B47" s="16" t="s">
        <v>1</v>
      </c>
      <c r="C47" s="16" t="s">
        <v>2</v>
      </c>
      <c r="D47" s="49" t="s">
        <v>3</v>
      </c>
    </row>
    <row r="48" spans="1:4" ht="24" customHeight="1" thickBot="1">
      <c r="A48" s="18" t="s">
        <v>30</v>
      </c>
      <c r="B48" s="19" t="s">
        <v>4</v>
      </c>
      <c r="C48" s="20" t="s">
        <v>10</v>
      </c>
      <c r="D48" s="50" t="s">
        <v>36</v>
      </c>
    </row>
    <row r="49" spans="1:4" ht="29.25" customHeight="1" thickBot="1">
      <c r="A49" s="18" t="s">
        <v>31</v>
      </c>
      <c r="B49" s="22" t="s">
        <v>6</v>
      </c>
      <c r="C49" s="20" t="s">
        <v>5</v>
      </c>
      <c r="D49" s="51" t="s">
        <v>17</v>
      </c>
    </row>
    <row r="50" spans="1:4" ht="29.25" customHeight="1" thickBot="1">
      <c r="A50" s="18" t="s">
        <v>32</v>
      </c>
      <c r="B50" s="22" t="s">
        <v>11</v>
      </c>
      <c r="C50" s="20" t="s">
        <v>7</v>
      </c>
      <c r="D50" s="48">
        <f>3.35*76150.87*12</f>
        <v>3061264.974</v>
      </c>
    </row>
    <row r="51" spans="1:4" ht="16.5" thickBot="1">
      <c r="A51" s="15" t="s">
        <v>0</v>
      </c>
      <c r="B51" s="16" t="s">
        <v>1</v>
      </c>
      <c r="C51" s="16" t="s">
        <v>2</v>
      </c>
      <c r="D51" s="49" t="s">
        <v>3</v>
      </c>
    </row>
    <row r="52" spans="1:4" ht="28.5" customHeight="1" thickBot="1">
      <c r="A52" s="18" t="s">
        <v>30</v>
      </c>
      <c r="B52" s="19" t="s">
        <v>4</v>
      </c>
      <c r="C52" s="20" t="s">
        <v>10</v>
      </c>
      <c r="D52" s="50" t="s">
        <v>36</v>
      </c>
    </row>
    <row r="53" spans="1:4" ht="32.25" customHeight="1" thickBot="1">
      <c r="A53" s="18" t="s">
        <v>31</v>
      </c>
      <c r="B53" s="22" t="s">
        <v>6</v>
      </c>
      <c r="C53" s="20" t="s">
        <v>5</v>
      </c>
      <c r="D53" s="51" t="s">
        <v>26</v>
      </c>
    </row>
    <row r="54" spans="1:4" ht="26.25" customHeight="1" thickBot="1">
      <c r="A54" s="18" t="s">
        <v>32</v>
      </c>
      <c r="B54" s="22" t="s">
        <v>11</v>
      </c>
      <c r="C54" s="20" t="s">
        <v>7</v>
      </c>
      <c r="D54" s="48">
        <f>0.19*76150.87*12</f>
        <v>173623.98359999998</v>
      </c>
    </row>
    <row r="55" spans="1:4" ht="16.5" thickBot="1">
      <c r="A55" s="15" t="s">
        <v>0</v>
      </c>
      <c r="B55" s="16" t="s">
        <v>1</v>
      </c>
      <c r="C55" s="16" t="s">
        <v>2</v>
      </c>
      <c r="D55" s="49" t="s">
        <v>3</v>
      </c>
    </row>
    <row r="56" spans="1:4" ht="26.25" customHeight="1" thickBot="1">
      <c r="A56" s="18" t="s">
        <v>30</v>
      </c>
      <c r="B56" s="19" t="s">
        <v>4</v>
      </c>
      <c r="C56" s="20" t="s">
        <v>10</v>
      </c>
      <c r="D56" s="50" t="s">
        <v>36</v>
      </c>
    </row>
    <row r="57" spans="1:4" ht="28.5" customHeight="1" thickBot="1">
      <c r="A57" s="18" t="s">
        <v>31</v>
      </c>
      <c r="B57" s="22" t="s">
        <v>6</v>
      </c>
      <c r="C57" s="20" t="s">
        <v>5</v>
      </c>
      <c r="D57" s="51" t="s">
        <v>22</v>
      </c>
    </row>
    <row r="58" spans="1:4" ht="32.25" thickBot="1">
      <c r="A58" s="18" t="s">
        <v>32</v>
      </c>
      <c r="B58" s="22" t="s">
        <v>11</v>
      </c>
      <c r="C58" s="20" t="s">
        <v>7</v>
      </c>
      <c r="D58" s="48">
        <f>1.26*76150.87*12</f>
        <v>1151401.1543999999</v>
      </c>
    </row>
    <row r="59" spans="1:4" ht="16.5" thickBot="1">
      <c r="A59" s="15" t="s">
        <v>0</v>
      </c>
      <c r="B59" s="16" t="s">
        <v>1</v>
      </c>
      <c r="C59" s="16" t="s">
        <v>2</v>
      </c>
      <c r="D59" s="49" t="s">
        <v>3</v>
      </c>
    </row>
    <row r="60" spans="1:4" ht="32.25" thickBot="1">
      <c r="A60" s="18" t="s">
        <v>30</v>
      </c>
      <c r="B60" s="19" t="s">
        <v>4</v>
      </c>
      <c r="C60" s="20" t="s">
        <v>10</v>
      </c>
      <c r="D60" s="50" t="s">
        <v>36</v>
      </c>
    </row>
    <row r="61" spans="1:4" ht="27" customHeight="1" thickBot="1">
      <c r="A61" s="18" t="s">
        <v>31</v>
      </c>
      <c r="B61" s="22" t="s">
        <v>6</v>
      </c>
      <c r="C61" s="20" t="s">
        <v>5</v>
      </c>
      <c r="D61" s="51" t="s">
        <v>24</v>
      </c>
    </row>
    <row r="62" spans="1:4" ht="25.5" customHeight="1" thickBot="1">
      <c r="A62" s="18" t="s">
        <v>32</v>
      </c>
      <c r="B62" s="22" t="s">
        <v>11</v>
      </c>
      <c r="C62" s="20" t="s">
        <v>7</v>
      </c>
      <c r="D62" s="48">
        <f>0.34*76150.87*12</f>
        <v>310695.5496</v>
      </c>
    </row>
    <row r="63" spans="1:4" ht="16.5" thickBot="1">
      <c r="A63" s="15" t="s">
        <v>0</v>
      </c>
      <c r="B63" s="16" t="s">
        <v>1</v>
      </c>
      <c r="C63" s="16" t="s">
        <v>2</v>
      </c>
      <c r="D63" s="49" t="s">
        <v>3</v>
      </c>
    </row>
    <row r="64" spans="1:4" ht="29.25" customHeight="1" thickBot="1">
      <c r="A64" s="18" t="s">
        <v>30</v>
      </c>
      <c r="B64" s="19" t="s">
        <v>4</v>
      </c>
      <c r="C64" s="20" t="s">
        <v>10</v>
      </c>
      <c r="D64" s="50" t="s">
        <v>36</v>
      </c>
    </row>
    <row r="65" spans="1:4" ht="35.25" customHeight="1" thickBot="1">
      <c r="A65" s="18" t="s">
        <v>31</v>
      </c>
      <c r="B65" s="22" t="s">
        <v>6</v>
      </c>
      <c r="C65" s="20" t="s">
        <v>5</v>
      </c>
      <c r="D65" s="51" t="s">
        <v>28</v>
      </c>
    </row>
    <row r="66" spans="1:4" ht="32.25" thickBot="1">
      <c r="A66" s="18" t="s">
        <v>32</v>
      </c>
      <c r="B66" s="22" t="s">
        <v>11</v>
      </c>
      <c r="C66" s="20" t="s">
        <v>7</v>
      </c>
      <c r="D66" s="48">
        <f>0.92*76150.87*12</f>
        <v>840705.6047999999</v>
      </c>
    </row>
    <row r="67" spans="1:4" ht="15.75">
      <c r="A67" s="24"/>
      <c r="B67" s="25"/>
      <c r="C67" s="26"/>
      <c r="D67" s="27"/>
    </row>
    <row r="68" spans="1:4" ht="13.5" customHeight="1">
      <c r="A68" s="28"/>
      <c r="B68" s="28" t="s">
        <v>35</v>
      </c>
      <c r="C68" s="13"/>
      <c r="D68" s="14"/>
    </row>
    <row r="69" spans="1:4" ht="15.75" hidden="1">
      <c r="A69" s="29"/>
      <c r="B69" s="29"/>
      <c r="C69" s="30"/>
      <c r="D69" s="31">
        <f>D62+D58+D54+D50+D46+D42+D38+D34+D30+D26+D22+D18+D14+D10+D6+D66</f>
        <v>31199999.9172</v>
      </c>
    </row>
    <row r="70" spans="1:4" ht="15.75" hidden="1">
      <c r="A70" s="29"/>
      <c r="B70" s="29"/>
      <c r="C70" s="30" t="s">
        <v>34</v>
      </c>
      <c r="D70" s="31">
        <f>33.91*76124.7/1.18+76124.7*34.13*11/1.18+D46</f>
        <v>26419179.00508475</v>
      </c>
    </row>
    <row r="71" spans="1:4" ht="27.75" customHeight="1" hidden="1">
      <c r="A71" s="29"/>
      <c r="B71" s="29"/>
      <c r="C71" s="30"/>
      <c r="D71" s="31">
        <f>D69-D70</f>
        <v>4780820.91211525</v>
      </c>
    </row>
    <row r="72" spans="1:4" ht="15.75" hidden="1">
      <c r="A72" s="29"/>
      <c r="B72" s="29" t="s">
        <v>29</v>
      </c>
      <c r="C72" s="30"/>
      <c r="D72" s="31"/>
    </row>
    <row r="73" ht="15" hidden="1">
      <c r="D73" s="42"/>
    </row>
    <row r="74" ht="15" hidden="1"/>
    <row r="75" ht="15" hidden="1">
      <c r="D75" s="42">
        <f>D69-D46</f>
        <v>31188350.317199998</v>
      </c>
    </row>
    <row r="76" ht="15" hidden="1"/>
    <row r="79" spans="3:4" ht="15">
      <c r="C79" s="55">
        <f>34.13*76150.87*12</f>
        <v>31188350.317200005</v>
      </c>
      <c r="D79" s="47">
        <f>D6+D10+D14+D18+D22+D26+D30+D34+D38+D42+D50+D54+D58+D62+D66</f>
        <v>31188350.317199998</v>
      </c>
    </row>
  </sheetData>
  <sheetProtection/>
  <mergeCells count="1">
    <mergeCell ref="A1:D1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Diakov</dc:creator>
  <cp:keywords/>
  <dc:description/>
  <cp:lastModifiedBy>Казаковцева Анна Юрьевна</cp:lastModifiedBy>
  <cp:lastPrinted>2018-03-30T11:26:36Z</cp:lastPrinted>
  <dcterms:created xsi:type="dcterms:W3CDTF">2014-12-15T06:48:03Z</dcterms:created>
  <dcterms:modified xsi:type="dcterms:W3CDTF">2019-03-29T06:09:35Z</dcterms:modified>
  <cp:category/>
  <cp:version/>
  <cp:contentType/>
  <cp:contentStatus/>
</cp:coreProperties>
</file>